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codeName="EstaPasta_de_trabalho"/>
  <xr:revisionPtr revIDLastSave="0" documentId="8_{80EA1E5B-4745-401F-A8EF-94EA60ECF164}" xr6:coauthVersionLast="46" xr6:coauthVersionMax="46" xr10:uidLastSave="{00000000-0000-0000-0000-000000000000}"/>
  <bookViews>
    <workbookView xWindow="-120" yWindow="-120" windowWidth="21840" windowHeight="13020" tabRatio="756" xr2:uid="{00000000-000D-0000-FFFF-FFFF00000000}"/>
  </bookViews>
  <sheets>
    <sheet name="PLANILHA ORÇAMENTÁRIA" sheetId="7" r:id="rId1"/>
    <sheet name="QUANTIDADES" sheetId="8" r:id="rId2"/>
    <sheet name="DMT" sheetId="2" r:id="rId3"/>
    <sheet name="BDI" sheetId="3" r:id="rId4"/>
    <sheet name="COMP ENSECADEIRA" sheetId="4" r:id="rId5"/>
    <sheet name="CRONOGRAMA" sheetId="6" r:id="rId6"/>
  </sheets>
  <definedNames>
    <definedName name="_xlnm.Print_Area" localSheetId="3">BDI!$B$2:$I$36</definedName>
    <definedName name="_xlnm.Print_Area" localSheetId="4">'COMP ENSECADEIRA'!$A$3:$G$25</definedName>
    <definedName name="_xlnm.Print_Area" localSheetId="5">CRONOGRAMA!$B$1:$G$23</definedName>
    <definedName name="_xlnm.Print_Area" localSheetId="2">DMT!$B$1:$D$19</definedName>
    <definedName name="_xlnm.Print_Area" localSheetId="0">'PLANILHA ORÇAMENTÁRIA'!$B$1:$J$99</definedName>
    <definedName name="_xlnm.Print_Area" localSheetId="1">QUANTIDADES!$B$1:$M$60</definedName>
    <definedName name="_xlnm.Print_Titles" localSheetId="5">CRONOGRAMA!$1:$5</definedName>
    <definedName name="_xlnm.Print_Titles" localSheetId="0">'PLANILHA ORÇAMENTÁRIA'!$1:$7</definedName>
    <definedName name="_xlnm.Print_Titles" localSheetId="1">QUANTIDADES!$1:$6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3" i="7" l="1"/>
  <c r="H50" i="7"/>
  <c r="H64" i="7" s="1"/>
  <c r="H75" i="7" s="1"/>
  <c r="H85" i="7" s="1"/>
  <c r="H54" i="7"/>
  <c r="H43" i="7"/>
  <c r="H53" i="7" s="1"/>
  <c r="H78" i="7" s="1"/>
  <c r="H88" i="7" s="1"/>
  <c r="H42" i="7"/>
  <c r="H52" i="7" s="1"/>
  <c r="H77" i="7" s="1"/>
  <c r="H87" i="7" s="1"/>
  <c r="H41" i="7"/>
  <c r="H51" i="7" s="1"/>
  <c r="H65" i="7" s="1"/>
  <c r="H76" i="7" s="1"/>
  <c r="H86" i="7" s="1"/>
  <c r="H40" i="7"/>
  <c r="H39" i="7"/>
  <c r="H49" i="7" s="1"/>
  <c r="H63" i="7" s="1"/>
  <c r="H74" i="7" s="1"/>
  <c r="H84" i="7" s="1"/>
  <c r="H38" i="7"/>
  <c r="H48" i="7" s="1"/>
  <c r="H37" i="7"/>
  <c r="H47" i="7" s="1"/>
  <c r="H59" i="7" s="1"/>
  <c r="H72" i="7" s="1"/>
  <c r="H82" i="7" s="1"/>
  <c r="H36" i="7"/>
  <c r="H46" i="7" s="1"/>
  <c r="H58" i="7" s="1"/>
  <c r="H71" i="7" s="1"/>
  <c r="H81" i="7" s="1"/>
  <c r="B5" i="6"/>
  <c r="K42" i="8"/>
  <c r="J58" i="8"/>
  <c r="D14" i="2"/>
  <c r="E15" i="4" l="1"/>
  <c r="G66" i="7" l="1"/>
  <c r="G69" i="7" s="1"/>
  <c r="B8" i="6"/>
  <c r="H59" i="8"/>
  <c r="G82" i="7" s="1"/>
  <c r="D58" i="8"/>
  <c r="F58" i="8" s="1"/>
  <c r="F59" i="8" s="1"/>
  <c r="G81" i="7" s="1"/>
  <c r="I52" i="8"/>
  <c r="G72" i="7" s="1"/>
  <c r="F51" i="8"/>
  <c r="F52" i="8" s="1"/>
  <c r="D51" i="8"/>
  <c r="G51" i="8" s="1"/>
  <c r="G52" i="8" s="1"/>
  <c r="G71" i="7" s="1"/>
  <c r="J43" i="8"/>
  <c r="G61" i="7" s="1"/>
  <c r="I43" i="8"/>
  <c r="G59" i="7" s="1"/>
  <c r="C43" i="8"/>
  <c r="G60" i="7" s="1"/>
  <c r="H42" i="8"/>
  <c r="K43" i="8" s="1"/>
  <c r="G42" i="8"/>
  <c r="G43" i="8" s="1"/>
  <c r="G58" i="7" s="1"/>
  <c r="I32" i="8"/>
  <c r="G37" i="7" s="1"/>
  <c r="H31" i="8"/>
  <c r="H32" i="8" s="1"/>
  <c r="G38" i="7" s="1"/>
  <c r="G39" i="7" s="1"/>
  <c r="G31" i="8"/>
  <c r="G32" i="8" s="1"/>
  <c r="G36" i="7" s="1"/>
  <c r="I25" i="8"/>
  <c r="G47" i="7" s="1"/>
  <c r="E24" i="8"/>
  <c r="J31" i="8" s="1"/>
  <c r="J32" i="8" s="1"/>
  <c r="G44" i="7" s="1"/>
  <c r="I16" i="8"/>
  <c r="G26" i="7" s="1"/>
  <c r="K15" i="8"/>
  <c r="K16" i="8" s="1"/>
  <c r="G19" i="7" s="1"/>
  <c r="J15" i="8"/>
  <c r="H15" i="8"/>
  <c r="H16" i="8" s="1"/>
  <c r="G27" i="7" s="1"/>
  <c r="G15" i="8"/>
  <c r="G16" i="8" s="1"/>
  <c r="G25" i="7" s="1"/>
  <c r="G91" i="7"/>
  <c r="G90" i="7"/>
  <c r="G16" i="7"/>
  <c r="G15" i="7"/>
  <c r="V7" i="7"/>
  <c r="Q7" i="7"/>
  <c r="V6" i="7"/>
  <c r="Q6" i="7"/>
  <c r="C15" i="6"/>
  <c r="C14" i="6"/>
  <c r="C13" i="6"/>
  <c r="C12" i="6"/>
  <c r="K11" i="6"/>
  <c r="J11" i="6"/>
  <c r="I11" i="6"/>
  <c r="C11" i="6"/>
  <c r="K10" i="6"/>
  <c r="J10" i="6"/>
  <c r="I10" i="6"/>
  <c r="C10" i="6"/>
  <c r="B4" i="6"/>
  <c r="G16" i="4"/>
  <c r="G15" i="4"/>
  <c r="G14" i="4"/>
  <c r="G13" i="4"/>
  <c r="G12" i="4"/>
  <c r="D20" i="3"/>
  <c r="D22" i="3" s="1"/>
  <c r="B3" i="2"/>
  <c r="B2" i="2"/>
  <c r="M15" i="8" l="1"/>
  <c r="M16" i="8" s="1"/>
  <c r="J16" i="8"/>
  <c r="G28" i="7" s="1"/>
  <c r="G20" i="7"/>
  <c r="G29" i="7"/>
  <c r="G30" i="7"/>
  <c r="G31" i="7" s="1"/>
  <c r="G32" i="7" s="1"/>
  <c r="D25" i="3"/>
  <c r="J4" i="7" s="1"/>
  <c r="G24" i="8"/>
  <c r="G25" i="8" s="1"/>
  <c r="G46" i="7" s="1"/>
  <c r="H24" i="8"/>
  <c r="H25" i="8" s="1"/>
  <c r="G48" i="7" s="1"/>
  <c r="G49" i="7" s="1"/>
  <c r="J24" i="8"/>
  <c r="J25" i="8" s="1"/>
  <c r="G54" i="7" s="1"/>
  <c r="H43" i="8"/>
  <c r="G62" i="7" s="1"/>
  <c r="G63" i="7" s="1"/>
  <c r="G65" i="7" s="1"/>
  <c r="L15" i="8"/>
  <c r="L16" i="8" s="1"/>
  <c r="H51" i="8"/>
  <c r="G17" i="4"/>
  <c r="H24" i="7" s="1"/>
  <c r="G67" i="7"/>
  <c r="G68" i="7"/>
  <c r="G40" i="7"/>
  <c r="I55" i="7" l="1"/>
  <c r="J55" i="7" s="1"/>
  <c r="I91" i="7"/>
  <c r="J91" i="7" s="1"/>
  <c r="I84" i="7"/>
  <c r="I75" i="7"/>
  <c r="I66" i="7"/>
  <c r="J66" i="7" s="1"/>
  <c r="I58" i="7"/>
  <c r="J58" i="7" s="1"/>
  <c r="I47" i="7"/>
  <c r="J47" i="7" s="1"/>
  <c r="I38" i="7"/>
  <c r="J38" i="7" s="1"/>
  <c r="I28" i="7"/>
  <c r="J28" i="7" s="1"/>
  <c r="I19" i="7"/>
  <c r="J19" i="7" s="1"/>
  <c r="I13" i="7"/>
  <c r="J13" i="7" s="1"/>
  <c r="I83" i="7"/>
  <c r="I74" i="7"/>
  <c r="I65" i="7"/>
  <c r="J65" i="7" s="1"/>
  <c r="I54" i="7"/>
  <c r="J54" i="7" s="1"/>
  <c r="I46" i="7"/>
  <c r="J46" i="7" s="1"/>
  <c r="I37" i="7"/>
  <c r="J37" i="7" s="1"/>
  <c r="I27" i="7"/>
  <c r="J27" i="7" s="1"/>
  <c r="I16" i="7"/>
  <c r="J16" i="7" s="1"/>
  <c r="I11" i="7"/>
  <c r="J11" i="7" s="1"/>
  <c r="I90" i="7"/>
  <c r="J90" i="7" s="1"/>
  <c r="I82" i="7"/>
  <c r="J82" i="7" s="1"/>
  <c r="I73" i="7"/>
  <c r="I64" i="7"/>
  <c r="I53" i="7"/>
  <c r="I44" i="7"/>
  <c r="J44" i="7" s="1"/>
  <c r="I36" i="7"/>
  <c r="J36" i="7" s="1"/>
  <c r="I26" i="7"/>
  <c r="J26" i="7" s="1"/>
  <c r="I10" i="7"/>
  <c r="J10" i="7" s="1"/>
  <c r="I81" i="7"/>
  <c r="J81" i="7" s="1"/>
  <c r="I72" i="7"/>
  <c r="J72" i="7" s="1"/>
  <c r="I63" i="7"/>
  <c r="J63" i="7" s="1"/>
  <c r="I52" i="7"/>
  <c r="I43" i="7"/>
  <c r="I33" i="7"/>
  <c r="I25" i="7"/>
  <c r="J25" i="7" s="1"/>
  <c r="I87" i="7"/>
  <c r="I78" i="7"/>
  <c r="I61" i="7"/>
  <c r="J61" i="7" s="1"/>
  <c r="I50" i="7"/>
  <c r="I41" i="7"/>
  <c r="I31" i="7"/>
  <c r="J31" i="7" s="1"/>
  <c r="I15" i="7"/>
  <c r="J15" i="7" s="1"/>
  <c r="I88" i="7"/>
  <c r="I79" i="7"/>
  <c r="I71" i="7"/>
  <c r="J71" i="7" s="1"/>
  <c r="I62" i="7"/>
  <c r="J62" i="7" s="1"/>
  <c r="I51" i="7"/>
  <c r="I42" i="7"/>
  <c r="I32" i="7"/>
  <c r="J32" i="7" s="1"/>
  <c r="I23" i="7"/>
  <c r="J23" i="7" s="1"/>
  <c r="I69" i="7"/>
  <c r="J69" i="7" s="1"/>
  <c r="I22" i="7"/>
  <c r="J22" i="7" s="1"/>
  <c r="I86" i="7"/>
  <c r="I77" i="7"/>
  <c r="I68" i="7"/>
  <c r="J68" i="7" s="1"/>
  <c r="I60" i="7"/>
  <c r="J60" i="7" s="1"/>
  <c r="I49" i="7"/>
  <c r="J49" i="7" s="1"/>
  <c r="I40" i="7"/>
  <c r="J40" i="7" s="1"/>
  <c r="I30" i="7"/>
  <c r="J30" i="7" s="1"/>
  <c r="I21" i="7"/>
  <c r="J21" i="7" s="1"/>
  <c r="I85" i="7"/>
  <c r="I76" i="7"/>
  <c r="I67" i="7"/>
  <c r="J67" i="7" s="1"/>
  <c r="I59" i="7"/>
  <c r="J59" i="7" s="1"/>
  <c r="I48" i="7"/>
  <c r="J48" i="7" s="1"/>
  <c r="I39" i="7"/>
  <c r="J39" i="7" s="1"/>
  <c r="I29" i="7"/>
  <c r="J29" i="7" s="1"/>
  <c r="I20" i="7"/>
  <c r="J20" i="7" s="1"/>
  <c r="I14" i="7"/>
  <c r="J14" i="7" s="1"/>
  <c r="G33" i="7"/>
  <c r="G64" i="7"/>
  <c r="G50" i="7"/>
  <c r="H52" i="8"/>
  <c r="J51" i="8"/>
  <c r="J52" i="8" s="1"/>
  <c r="G79" i="7" s="1"/>
  <c r="I24" i="7"/>
  <c r="J24" i="7" s="1"/>
  <c r="G41" i="7"/>
  <c r="J89" i="7" l="1"/>
  <c r="D15" i="6" s="1"/>
  <c r="G15" i="6" s="1"/>
  <c r="J33" i="7"/>
  <c r="J9" i="7"/>
  <c r="D10" i="6" s="1"/>
  <c r="G10" i="6" s="1"/>
  <c r="J12" i="7"/>
  <c r="D11" i="6" s="1"/>
  <c r="F11" i="6" s="1"/>
  <c r="J79" i="7"/>
  <c r="J64" i="7"/>
  <c r="J57" i="7" s="1"/>
  <c r="F15" i="6"/>
  <c r="J18" i="7"/>
  <c r="J17" i="7" s="1"/>
  <c r="D12" i="6" s="1"/>
  <c r="E12" i="6" s="1"/>
  <c r="G51" i="7"/>
  <c r="J50" i="7"/>
  <c r="G58" i="8"/>
  <c r="G59" i="8" s="1"/>
  <c r="G83" i="7" s="1"/>
  <c r="G73" i="7"/>
  <c r="G43" i="7"/>
  <c r="J43" i="7" s="1"/>
  <c r="G42" i="7"/>
  <c r="J42" i="7" s="1"/>
  <c r="J41" i="7"/>
  <c r="E15" i="6" l="1"/>
  <c r="F10" i="6"/>
  <c r="G11" i="6"/>
  <c r="E10" i="6"/>
  <c r="E11" i="6"/>
  <c r="G12" i="6"/>
  <c r="F12" i="6"/>
  <c r="G53" i="7"/>
  <c r="J53" i="7" s="1"/>
  <c r="J51" i="7"/>
  <c r="G52" i="7"/>
  <c r="J52" i="7" s="1"/>
  <c r="G75" i="7"/>
  <c r="G74" i="7"/>
  <c r="J74" i="7" s="1"/>
  <c r="J73" i="7"/>
  <c r="G84" i="7"/>
  <c r="J84" i="7" s="1"/>
  <c r="G85" i="7"/>
  <c r="J83" i="7"/>
  <c r="J35" i="7"/>
  <c r="J45" i="7" l="1"/>
  <c r="J34" i="7" s="1"/>
  <c r="D13" i="6" s="1"/>
  <c r="G13" i="6" s="1"/>
  <c r="G86" i="7"/>
  <c r="J85" i="7"/>
  <c r="G76" i="7"/>
  <c r="J75" i="7"/>
  <c r="E13" i="6" l="1"/>
  <c r="F13" i="6"/>
  <c r="G88" i="7"/>
  <c r="J88" i="7" s="1"/>
  <c r="J86" i="7"/>
  <c r="G87" i="7"/>
  <c r="J87" i="7" s="1"/>
  <c r="G77" i="7"/>
  <c r="J77" i="7" s="1"/>
  <c r="G78" i="7"/>
  <c r="J78" i="7" s="1"/>
  <c r="J76" i="7"/>
  <c r="J80" i="7" l="1"/>
  <c r="J70" i="7"/>
  <c r="J56" i="7" l="1"/>
  <c r="D14" i="6" s="1"/>
  <c r="J8" i="7" l="1"/>
  <c r="F14" i="6"/>
  <c r="F16" i="6" s="1"/>
  <c r="E14" i="6"/>
  <c r="E16" i="6" s="1"/>
  <c r="G14" i="6"/>
  <c r="G16" i="6" s="1"/>
  <c r="D16" i="6"/>
  <c r="M9" i="7" l="1"/>
  <c r="G17" i="6"/>
  <c r="F17" i="6"/>
  <c r="E17" i="6"/>
  <c r="D17" i="6" l="1"/>
</calcChain>
</file>

<file path=xl/sharedStrings.xml><?xml version="1.0" encoding="utf-8"?>
<sst xmlns="http://schemas.openxmlformats.org/spreadsheetml/2006/main" count="553" uniqueCount="277">
  <si>
    <t>DMT - Distâncias Médias de Transporte</t>
  </si>
  <si>
    <t>Transporte de concreto</t>
  </si>
  <si>
    <t>Tipo Rodovia</t>
  </si>
  <si>
    <t>km</t>
  </si>
  <si>
    <t>Pavimentada</t>
  </si>
  <si>
    <t>Leito Natural</t>
  </si>
  <si>
    <t>Transporte vigas longarinas</t>
  </si>
  <si>
    <t>DETALHAMENTO DO BDI</t>
  </si>
  <si>
    <t>CONTRIBUIÇÃO PREVIDENCIÁRIA:</t>
  </si>
  <si>
    <t>Conforme legislação tributária municipal, definir estimativa de percentual da base de cálculo para o ISS:</t>
  </si>
  <si>
    <t>Sobre a base de cálculo, definir a respectiva alíquota do ISS (entre 2% e 5%)</t>
  </si>
  <si>
    <t>PARCELAS DO BDI</t>
  </si>
  <si>
    <t>VALORES PERCENTUAIS ADOTADOS</t>
  </si>
  <si>
    <t>LIMITES DAS PARCELAS DO BDI PARA OBRAS DESTE TIPO. ACÓRDÃO TCU 2622/2013</t>
  </si>
  <si>
    <t>Min.</t>
  </si>
  <si>
    <t>Med.</t>
  </si>
  <si>
    <t>Máx.</t>
  </si>
  <si>
    <t>(AC) - Administração Central</t>
  </si>
  <si>
    <t>(R) - Riscos</t>
  </si>
  <si>
    <t>(S) + (G) - Seguro e Garantia</t>
  </si>
  <si>
    <t>(DF) - Despesas Financeiras</t>
  </si>
  <si>
    <t>(L) - Lucro</t>
  </si>
  <si>
    <t>(I1) - PIS</t>
  </si>
  <si>
    <t>(I2) - COFINS</t>
  </si>
  <si>
    <t>(I2) - ISS</t>
  </si>
  <si>
    <t>(I4) - Contribuição Previdenciária)</t>
  </si>
  <si>
    <t>BDI % =</t>
  </si>
  <si>
    <t>VALOR PARA SIMPLES CONFERÊNCIA DO ENQUADRAMENTO DO BDI NOS LIMITES ESTABELECIDOS PELO ACÓRDÃO TCU 2622/2013</t>
  </si>
  <si>
    <t>BDI desconsiderando a parcela (I4) contribuição previdenciária</t>
  </si>
  <si>
    <t>DECLARAÇÕES</t>
  </si>
  <si>
    <t>DECLARO que o percentual de encargos sociais utilizados no valor da mão-de-obra do orçamento são os encargos sociais praticados pelo SINAPI e/ou SICRO.</t>
  </si>
  <si>
    <t>COMPOSIÇÃO PRÓPRIA</t>
  </si>
  <si>
    <t>CODIGO DA COMPOSICAO:</t>
  </si>
  <si>
    <t>73890/2</t>
  </si>
  <si>
    <t>DATA-BASE:</t>
  </si>
  <si>
    <t>DESCRICAO DA COMPOSICAO:</t>
  </si>
  <si>
    <t>*Adaptada da Composição original de Jan/2020</t>
  </si>
  <si>
    <t>UNIDADE:</t>
  </si>
  <si>
    <t>M2</t>
  </si>
  <si>
    <t>TIPO ITEM</t>
  </si>
  <si>
    <t>CODIGO</t>
  </si>
  <si>
    <t>DESCRIÇÃO ITEM</t>
  </si>
  <si>
    <t>UNIDADE ITEM</t>
  </si>
  <si>
    <t>COEFICIENTE</t>
  </si>
  <si>
    <t>PRECO UNITARIO</t>
  </si>
  <si>
    <t>CUSTO TOTAL</t>
  </si>
  <si>
    <t>Composição Auxiliar</t>
  </si>
  <si>
    <t>Insumo</t>
  </si>
  <si>
    <t>VALOR TOTAL</t>
  </si>
  <si>
    <t xml:space="preserve">DESCRIÇÃO </t>
  </si>
  <si>
    <t>TOTAIS</t>
  </si>
  <si>
    <t>CRONOGRAMAS FÍSICO FINANCEIRO</t>
  </si>
  <si>
    <t>CRONOGRAMA FÍSICO FINANCEIRO</t>
  </si>
  <si>
    <t>ITEM</t>
  </si>
  <si>
    <t>ETAPA 1</t>
  </si>
  <si>
    <t>ETAPA 2</t>
  </si>
  <si>
    <t>ETAPA 3</t>
  </si>
  <si>
    <t>TOTAL</t>
  </si>
  <si>
    <t>%</t>
  </si>
  <si>
    <t>PLANILHA ORÇAMENTÁRIA GLOBAL</t>
  </si>
  <si>
    <t xml:space="preserve">BDI </t>
  </si>
  <si>
    <t>DATA BASE</t>
  </si>
  <si>
    <t>Vigas</t>
  </si>
  <si>
    <t>Concreto</t>
  </si>
  <si>
    <t>Item</t>
  </si>
  <si>
    <t>Código</t>
  </si>
  <si>
    <t>Banco</t>
  </si>
  <si>
    <t>Descrição</t>
  </si>
  <si>
    <t>Unid</t>
  </si>
  <si>
    <t>Quant.</t>
  </si>
  <si>
    <t>Valor Unit</t>
  </si>
  <si>
    <r>
      <rPr>
        <b/>
        <sz val="10"/>
        <rFont val="Arial"/>
        <family val="2"/>
      </rPr>
      <t>Valor Unit
com BDI</t>
    </r>
  </si>
  <si>
    <t>Total</t>
  </si>
  <si>
    <t>SERVIÇOS TÉCNICOS</t>
  </si>
  <si>
    <t>1.1</t>
  </si>
  <si>
    <t>P9812</t>
  </si>
  <si>
    <t>SICRO3</t>
  </si>
  <si>
    <t>1.2</t>
  </si>
  <si>
    <t>P9840</t>
  </si>
  <si>
    <t>SERVIÇOS INICIAIS</t>
  </si>
  <si>
    <t>2.1</t>
  </si>
  <si>
    <t>2.2</t>
  </si>
  <si>
    <t>2.3</t>
  </si>
  <si>
    <t>SINAPI</t>
  </si>
  <si>
    <t>2.4</t>
  </si>
  <si>
    <t>INFRAESTRUTURA</t>
  </si>
  <si>
    <t>3.1</t>
  </si>
  <si>
    <t>SAPATAS</t>
  </si>
  <si>
    <t>3.1.1</t>
  </si>
  <si>
    <t>3.1.2</t>
  </si>
  <si>
    <t>3.1.3</t>
  </si>
  <si>
    <t>3.1.4</t>
  </si>
  <si>
    <t>3.1.5</t>
  </si>
  <si>
    <t>3.1.6</t>
  </si>
  <si>
    <t>m²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</si>
  <si>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</si>
  <si>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</si>
  <si>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</si>
  <si>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</si>
  <si>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</si>
  <si>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</si>
  <si>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</si>
  <si>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</si>
  <si>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</si>
  <si>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MESOESTRUTURA</t>
  </si>
  <si>
    <t>4.1</t>
  </si>
  <si>
    <r>
      <rPr>
        <b/>
        <sz val="10"/>
        <rFont val="Arial"/>
        <family val="2"/>
      </rPr>
      <t>ALA DOS ENCONTROS</t>
    </r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</si>
  <si>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</si>
  <si>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</si>
  <si>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</si>
  <si>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</si>
  <si>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</si>
  <si>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</si>
  <si>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</si>
  <si>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</si>
  <si>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</si>
  <si>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m³</t>
  </si>
  <si>
    <t>4.2</t>
  </si>
  <si>
    <t>CORTINAS DE ACESSO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</si>
  <si>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</si>
  <si>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</si>
  <si>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</si>
  <si>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</si>
  <si>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</si>
  <si>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</si>
  <si>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</si>
  <si>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</si>
  <si>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</si>
  <si>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SUPERESTRUTURA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</si>
  <si>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</si>
  <si>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</si>
  <si>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</si>
  <si>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</si>
  <si>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</si>
  <si>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</si>
  <si>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</si>
  <si>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</si>
  <si>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</si>
  <si>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</si>
  <si>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</si>
  <si>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</si>
  <si>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</si>
  <si>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5.2</t>
  </si>
  <si>
    <t>PRÉ-LAJES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</si>
  <si>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</si>
  <si>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</si>
  <si>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</si>
  <si>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</si>
  <si>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</si>
  <si>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</si>
  <si>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</si>
  <si>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</si>
  <si>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</si>
  <si>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</t>
  </si>
  <si>
    <t>LAJE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</si>
  <si>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</si>
  <si>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</si>
  <si>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</si>
  <si>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</si>
  <si>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</si>
  <si>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</si>
  <si>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</si>
  <si>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</si>
  <si>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ACABAMENTOS E OBRAS COMPLEMENTARES</t>
  </si>
  <si>
    <t>6.1</t>
  </si>
  <si>
    <t>6.2</t>
  </si>
  <si>
    <t>Observação: os serviços de aterro, reaterro e escavação mecânica serão executados pela Prefeitura Municipal.</t>
  </si>
  <si>
    <t>VIGAS PRÉ-MOLDADAS- LONGARINAS  11,00m</t>
  </si>
  <si>
    <t>m</t>
  </si>
  <si>
    <t>CARPINTEIRO DE FORMAS COM ENCARGOS COMPLEMENTARES</t>
  </si>
  <si>
    <t>SERVENTE COM ENCARGOS COMPLEMENTARES</t>
  </si>
  <si>
    <t xml:space="preserve">PONTALETE ROLIÇO SEM TRATAMENTO, D = 8 A 11 CM, H = 3 M, EM EUCALIPTO OU EQUIVALENTE DA REGIAO - BRUTA (PARA ESCORAMENTO)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</si>
  <si>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VIGA NAO APARELHADA *6 X 16* CM, EM MACARANDUBA, ANGELIM OU EQUIVALENTE DA REGIAO -  BRUTA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</si>
  <si>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PREGO DE ACO POLIDO COM CABECA 17 X 27 (2 1/2 X 11)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</si>
  <si>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</t>
  </si>
  <si>
    <t xml:space="preserve">M     </t>
  </si>
  <si>
    <t xml:space="preserve">KG    </t>
  </si>
  <si>
    <t>Engenheiro</t>
  </si>
  <si>
    <t>mês</t>
  </si>
  <si>
    <t>Encarregado geral</t>
  </si>
  <si>
    <t>Placa em aço - película I + I - fornecimento e implantação</t>
  </si>
  <si>
    <t>Suporte para placa de sinalização em madeira de lei tratada 8 x 8 cm - fornecimento e implantação</t>
  </si>
  <si>
    <t>LOCACAO CONVENCIONAL DE OBRA, UTILIZANDO GABARITO DE TÁBUAS CORRIDAS PONTALETADAS A CADA 2,00M -  2 UTILIZAÇÕES. AF_10/2018</t>
  </si>
  <si>
    <t>GERADOR PORTÁTIL MONOFÁSICO, POTÊNCIA 5500 VA, MOTOR A GASOLINA, POTÊNCIA DO MOTOR 13 CV - CHP DIURNO. AF_03/2016</t>
  </si>
  <si>
    <t>Escavação mecânica de vala em material de 1ª categoria</t>
  </si>
  <si>
    <t>Compactação de aterros a 100% do Proctor normal</t>
  </si>
  <si>
    <t>MOTOBOMBA TRASH (PARA ÁGUA SUJA) AUTO ESCORVANTE, MOTOR GASOLINA DE 6,41 HP, DIÂMETROS DE SUCÇÃO X RECALQUE: 3" X 3", HM/Q = 10 MCA / 60 M3/H A 23 MCA / 0 M3/H - MATERIAIS NA OPERAÇÃO. AF_10/2014</t>
  </si>
  <si>
    <t>CAVOUQUEIRO OU OPERADOR PERFURATRIZ/ROMPEDOR COM ENCARGOS COMPLEMENTARES</t>
  </si>
  <si>
    <t>PERFURATRIZ MANUAL, TORQUE MAXIMO 55 KGF.M, POTENCIA 5 CV, COM DIAMETRO MAXIMO 8 1/2" - CHP DIURNO. AF_11/2016</t>
  </si>
  <si>
    <t>Armação em aço CA-50 - fornecimento, preparo e colocação</t>
  </si>
  <si>
    <t>Concreto para bombeamento fck = 25 MPa - confecção em central dosadora de 30 m³/h - areia e brita comerciais</t>
  </si>
  <si>
    <t>Concreto magro - confecção em betoneira e lançamento manual - areia e brita comerciais</t>
  </si>
  <si>
    <t>Lançamento mecânico de concreto com bomba rebocável com capacidade de 30 m³/h - confecção em central dosadora de 30 m³/h</t>
  </si>
  <si>
    <t>Adensamento de concreto por vibrador de imersão</t>
  </si>
  <si>
    <t>Carga, manobra e descarga de concreto com caminhão betoneira - carga em central de concreto de 30 m³/h e descarga livre</t>
  </si>
  <si>
    <t>Transporte com caminhão betoneira - rodovia em leito natural</t>
  </si>
  <si>
    <t>Transporte com caminhão betoneira - rodovia pavimentada</t>
  </si>
  <si>
    <t>Plataforma de trabalho em madeira apoiada no solo - altura de até 6 m - utilização de 5 vezes - confecção, instalação e retirada</t>
  </si>
  <si>
    <t>Ancoragem ativa para lajes com 1 cordoalha aderente D = 15,2 mm - fornecimento e instalação</t>
  </si>
  <si>
    <t>Cordoalha CP 190 RB D = 15,2 mm - fornecimento e instalação</t>
  </si>
  <si>
    <t>Concreto para bombeamento fck = 40 MPa - confecção em central dosadora de 30 m³/h - areia e brita comerciais</t>
  </si>
  <si>
    <t>Carga, descarga e manobra de vigas pré-moldadas de até 500 kN em cavalo mecânico com dolly de 4 eixos com capacidade de 57 t</t>
  </si>
  <si>
    <t>Transporte em cavalo mecânico com dolly de 4 eixos com capacidade de 57 t - rodovia em leito natural</t>
  </si>
  <si>
    <t>Transporte em cavalo mecânico com dolly de 4 eixos com capacidade de 57 t - rodovia pavimentada</t>
  </si>
  <si>
    <t>Lançamento de viga pré-moldada de até 500 kN com utilização de guindaste</t>
  </si>
  <si>
    <t>Concreto para bombeamento fck = 30 MPa - confecção em central dosadora de 30 m³/h - areia e brita comerciais</t>
  </si>
  <si>
    <t>Lançamento de pré-laje com utilização de guindauto</t>
  </si>
  <si>
    <t>Dreno de PVC D = 100 mm para OAE - fornecimento e instalação</t>
  </si>
  <si>
    <t>LIMPEZA DE SUPERFÍCIE COM JATO DE ALTA PRESSÃO. AF_04/2019</t>
  </si>
  <si>
    <t>un</t>
  </si>
  <si>
    <t>M</t>
  </si>
  <si>
    <t>CHP</t>
  </si>
  <si>
    <t>kg</t>
  </si>
  <si>
    <t>t</t>
  </si>
  <si>
    <t>tkm</t>
  </si>
  <si>
    <t>MEMÓRIA CÁLCULO DE QUANTIDADES</t>
  </si>
  <si>
    <t>Comprimento</t>
  </si>
  <si>
    <t>Largura</t>
  </si>
  <si>
    <t>Altura</t>
  </si>
  <si>
    <t>Quantidade</t>
  </si>
  <si>
    <t>Forma</t>
  </si>
  <si>
    <t>Aço CA-50</t>
  </si>
  <si>
    <t>Concreto magro</t>
  </si>
  <si>
    <t>Escavação</t>
  </si>
  <si>
    <t>Reaterro</t>
  </si>
  <si>
    <t>Bota-fora</t>
  </si>
  <si>
    <t>(C) m</t>
  </si>
  <si>
    <t>(L) m</t>
  </si>
  <si>
    <t>(H) m</t>
  </si>
  <si>
    <t>(Q)</t>
  </si>
  <si>
    <t>Sapatas</t>
  </si>
  <si>
    <t>CORTINA</t>
  </si>
  <si>
    <t>Plataforma</t>
  </si>
  <si>
    <t>Cortina</t>
  </si>
  <si>
    <t>ALAS</t>
  </si>
  <si>
    <t>Área de Corte</t>
  </si>
  <si>
    <t>Perímetro de forma</t>
  </si>
  <si>
    <t>Espessura</t>
  </si>
  <si>
    <t>(A) m</t>
  </si>
  <si>
    <t>E (m)</t>
  </si>
  <si>
    <t>Alas</t>
  </si>
  <si>
    <t>VIGAS PRÉ MOLDADAS</t>
  </si>
  <si>
    <t>Peso Concreto (Pcs) =</t>
  </si>
  <si>
    <t>t/m³</t>
  </si>
  <si>
    <t>Área de corte</t>
  </si>
  <si>
    <t>Cordoalhas</t>
  </si>
  <si>
    <t>Peso transporte</t>
  </si>
  <si>
    <t>(P) m</t>
  </si>
  <si>
    <t>Ancoragens ativas (un)</t>
  </si>
  <si>
    <t>PRÉ LAJES</t>
  </si>
  <si>
    <t>Peso Concreto Armado (Pcs) =</t>
  </si>
  <si>
    <t>(m)</t>
  </si>
  <si>
    <t>(Unitário) t</t>
  </si>
  <si>
    <t>C (m)</t>
  </si>
  <si>
    <t>Laje</t>
  </si>
  <si>
    <t>PONTE NELSON LIESCH - 11,30M DE COMPRIMENTO X 6,00M DE LARGURA E 5,21M DE ALTURA</t>
  </si>
  <si>
    <t>Pré Lajes</t>
  </si>
  <si>
    <t>ENSECADEIRA DE MADEIRA COM PAREDE SIMPLES</t>
  </si>
  <si>
    <t>4.2.10</t>
  </si>
  <si>
    <t>Aparelho de apoio de neoprene fretado para estruturas pré-moldadas - fornecimento e instalação</t>
  </si>
  <si>
    <t>Fôrmas de compensado plastificado 14 mm - uso geral - utilização de 3 vezes - confecção, instalação e retirada</t>
  </si>
  <si>
    <t>PONTE CACIQUE DOBLE - 11,30M DE COMPRIMENTO X 6,00M DE LARGURA E 5,21M DE ALTURA</t>
  </si>
  <si>
    <t>PREFEITURA MUNICIPAL DE CACIQUE DOBLE/RS</t>
  </si>
  <si>
    <t>CONSTRUÇÃO DE PONTE EM CONCRETO ARMADO PROTENDIDO</t>
  </si>
  <si>
    <t>Janeiro 2025</t>
  </si>
  <si>
    <t>Distância de Tapejara-RS a Cacique Doble-RS</t>
  </si>
  <si>
    <t>Distância de Cacique Doble-RS às obras</t>
  </si>
  <si>
    <t>Distância de Chapecó-SC a Cacique Doble-RS</t>
  </si>
  <si>
    <t>TOMADOR: PREFEITURA MUNICIPAL DE CACIQUE DOBLE/RS</t>
  </si>
  <si>
    <t>OBRA: CONSTRUÇÃO DE PONTE EM CONCRETO ARMADO PROTENDIDO</t>
  </si>
  <si>
    <t>MUNICÍPIO: CACIQUE DOBLE/RS</t>
  </si>
  <si>
    <t>DECLARO que, de acordo com a legislação tributária do municipio de CACIQUE DOBLE - RS, considerando a natureza da obra  acima discriminada, para cálculo do valor de ISS a ser cobrado da empresa construtora, é aplicada a aliquota de 3% sobre o valor total da obra.</t>
  </si>
  <si>
    <r>
      <t xml:space="preserve">DECLARO que o orçamento da obra foi verificado com os custos nas duas possibilidades de CONTRIBUIÇÃO PREVIDENCIÁRIA e foi adotado a modalidade </t>
    </r>
    <r>
      <rPr>
        <b/>
        <u/>
        <sz val="10"/>
        <color rgb="FFFF0000"/>
        <rFont val="Arial"/>
        <family val="2"/>
      </rPr>
      <t>SEM DESONERAÇÃO</t>
    </r>
    <r>
      <rPr>
        <sz val="10"/>
        <color rgb="FF000000"/>
        <rFont val="Arial"/>
        <family val="2"/>
      </rPr>
      <t xml:space="preserve"> por ser a mais adequada ao Tomador PREFEITURA MUNICIPAL DE CACIQUE DOBLE -RS.</t>
    </r>
  </si>
  <si>
    <t>CONSTRUÇÃO DE PONTE0 EM CONCRETO ARMADO PROTENDIDO</t>
  </si>
  <si>
    <t>Distância de Chapecó-SC a Cacique Doble-RS (LEITO NATURAL)</t>
  </si>
  <si>
    <t>Distância de Cacique Doble-RS às obras (ASFALTO)</t>
  </si>
  <si>
    <t>Distância de Tapejara-RS a Cacique Doble-RS (LEITO NATURAL)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</si>
</sst>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"/>
    <numFmt numFmtId="165" formatCode="0.0"/>
    <numFmt numFmtId="166" formatCode="0000000"/>
    <numFmt numFmtId="167" formatCode="0.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b/>
      <u/>
      <sz val="10"/>
      <color rgb="FFFF0000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i/>
      <sz val="10"/>
      <color rgb="FF000000"/>
      <name val="Arial"/>
      <family val="2"/>
    </font>
    <font>
      <sz val="11"/>
      <color indexed="8"/>
      <name val="Calibri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b/>
      <sz val="12"/>
      <name val="Courier New"/>
      <family val="3"/>
    </font>
    <font>
      <sz val="12"/>
      <name val="Courier New"/>
      <family val="3"/>
    </font>
    <font>
      <sz val="11"/>
      <name val="Courier New"/>
      <family val="3"/>
    </font>
    <font>
      <b/>
      <u/>
      <sz val="12"/>
      <name val="Courier New"/>
      <family val="3"/>
    </font>
    <font>
      <sz val="12.5"/>
      <name val="Courier New"/>
      <family val="3"/>
    </font>
    <font>
      <b/>
      <sz val="12.5"/>
      <name val="Courier New"/>
      <family val="3"/>
    </font>
    <font>
      <sz val="11"/>
      <color rgb="FFFF0000"/>
      <name val="Courier New"/>
      <family val="3"/>
    </font>
    <font>
      <sz val="12"/>
      <color rgb="FFFF0000"/>
      <name val="Courier New"/>
      <family val="3"/>
    </font>
    <font>
      <b/>
      <sz val="12.5"/>
      <color rgb="FFFF0000"/>
      <name val="Courier New"/>
      <family val="3"/>
    </font>
    <font>
      <i/>
      <sz val="12"/>
      <name val="Courier New"/>
      <family val="3"/>
    </font>
    <font>
      <sz val="10"/>
      <name val="Courier New"/>
      <family val="3"/>
    </font>
    <font>
      <sz val="10"/>
      <color rgb="FF000000"/>
      <name val="Courier New"/>
      <family val="3"/>
    </font>
    <font>
      <b/>
      <sz val="14"/>
      <color theme="0"/>
      <name val="Courier New"/>
      <family val="3"/>
    </font>
    <font>
      <b/>
      <i/>
      <sz val="14"/>
      <name val="Courier New"/>
      <family val="3"/>
    </font>
    <font>
      <b/>
      <sz val="12"/>
      <color theme="0"/>
      <name val="Courier New"/>
      <family val="3"/>
    </font>
    <font>
      <b/>
      <sz val="12"/>
      <color rgb="FFFF0000"/>
      <name val="Courier New"/>
      <family val="3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8EBF6"/>
        <bgColor indexed="64"/>
      </patternFill>
    </fill>
    <fill>
      <patternFill patternType="solid">
        <fgColor rgb="FFDFEFD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D8EBF6"/>
      </patternFill>
    </fill>
    <fill>
      <patternFill patternType="solid">
        <fgColor theme="8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DCDCD"/>
      </left>
      <right style="thin">
        <color rgb="FFCDCDCD"/>
      </right>
      <top style="thin">
        <color rgb="FFCDCDCD"/>
      </top>
      <bottom style="thin">
        <color rgb="FFCDCDCD"/>
      </bottom>
      <diagonal/>
    </border>
    <border>
      <left style="thin">
        <color rgb="FFCDCDCD"/>
      </left>
      <right/>
      <top style="thin">
        <color rgb="FFCDCDCD"/>
      </top>
      <bottom style="thin">
        <color rgb="FFCDCDCD"/>
      </bottom>
      <diagonal/>
    </border>
    <border>
      <left/>
      <right/>
      <top style="thin">
        <color rgb="FFCDCDCD"/>
      </top>
      <bottom style="thin">
        <color rgb="FFCDCDCD"/>
      </bottom>
      <diagonal/>
    </border>
    <border>
      <left/>
      <right style="thin">
        <color rgb="FFCDCDCD"/>
      </right>
      <top style="thin">
        <color rgb="FFCDCDCD"/>
      </top>
      <bottom style="thin">
        <color rgb="FFCDCDCD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9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</cellStyleXfs>
  <cellXfs count="258">
    <xf numFmtId="0" fontId="0" fillId="0" borderId="0" xfId="0"/>
    <xf numFmtId="0" fontId="3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5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left" vertical="center"/>
    </xf>
    <xf numFmtId="0" fontId="6" fillId="4" borderId="12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0" fontId="7" fillId="2" borderId="0" xfId="0" applyFont="1" applyFill="1"/>
    <xf numFmtId="0" fontId="7" fillId="2" borderId="5" xfId="0" applyFont="1" applyFill="1" applyBorder="1"/>
    <xf numFmtId="0" fontId="6" fillId="2" borderId="0" xfId="0" applyFont="1" applyFill="1" applyAlignment="1">
      <alignment horizontal="left"/>
    </xf>
    <xf numFmtId="0" fontId="0" fillId="2" borderId="0" xfId="0" applyFill="1"/>
    <xf numFmtId="0" fontId="6" fillId="2" borderId="10" xfId="0" applyFont="1" applyFill="1" applyBorder="1"/>
    <xf numFmtId="0" fontId="9" fillId="2" borderId="0" xfId="4" applyFont="1" applyFill="1" applyAlignment="1">
      <alignment horizontal="left" vertical="center"/>
    </xf>
    <xf numFmtId="0" fontId="6" fillId="2" borderId="1" xfId="4" applyFont="1" applyFill="1" applyBorder="1" applyAlignment="1">
      <alignment horizontal="left" vertical="center"/>
    </xf>
    <xf numFmtId="0" fontId="9" fillId="2" borderId="2" xfId="4" applyFont="1" applyFill="1" applyBorder="1" applyAlignment="1">
      <alignment horizontal="left" vertical="center"/>
    </xf>
    <xf numFmtId="0" fontId="6" fillId="2" borderId="2" xfId="4" applyFont="1" applyFill="1" applyBorder="1" applyAlignment="1">
      <alignment vertical="center"/>
    </xf>
    <xf numFmtId="0" fontId="9" fillId="0" borderId="2" xfId="4" applyFont="1" applyBorder="1" applyAlignment="1">
      <alignment horizontal="left" vertical="top"/>
    </xf>
    <xf numFmtId="0" fontId="9" fillId="0" borderId="3" xfId="4" applyFont="1" applyBorder="1" applyAlignment="1">
      <alignment horizontal="left" vertical="top"/>
    </xf>
    <xf numFmtId="0" fontId="9" fillId="0" borderId="0" xfId="4" applyFont="1" applyAlignment="1">
      <alignment horizontal="left" vertical="top"/>
    </xf>
    <xf numFmtId="0" fontId="6" fillId="2" borderId="4" xfId="4" applyFont="1" applyFill="1" applyBorder="1" applyAlignment="1">
      <alignment horizontal="left" vertical="center"/>
    </xf>
    <xf numFmtId="0" fontId="6" fillId="2" borderId="0" xfId="4" applyFont="1" applyFill="1" applyAlignment="1">
      <alignment horizontal="left" vertical="center"/>
    </xf>
    <xf numFmtId="0" fontId="9" fillId="0" borderId="5" xfId="4" applyFont="1" applyBorder="1" applyAlignment="1">
      <alignment horizontal="left" vertical="top"/>
    </xf>
    <xf numFmtId="0" fontId="6" fillId="2" borderId="9" xfId="4" applyFont="1" applyFill="1" applyBorder="1" applyAlignment="1">
      <alignment horizontal="left" vertical="center"/>
    </xf>
    <xf numFmtId="0" fontId="9" fillId="2" borderId="10" xfId="4" applyFont="1" applyFill="1" applyBorder="1" applyAlignment="1">
      <alignment horizontal="left" vertical="center"/>
    </xf>
    <xf numFmtId="0" fontId="6" fillId="2" borderId="10" xfId="4" applyFont="1" applyFill="1" applyBorder="1" applyAlignment="1">
      <alignment vertical="center"/>
    </xf>
    <xf numFmtId="0" fontId="9" fillId="0" borderId="10" xfId="4" applyFont="1" applyBorder="1" applyAlignment="1">
      <alignment horizontal="left" vertical="top"/>
    </xf>
    <xf numFmtId="0" fontId="9" fillId="0" borderId="11" xfId="4" applyFont="1" applyBorder="1" applyAlignment="1">
      <alignment horizontal="left" vertical="top"/>
    </xf>
    <xf numFmtId="0" fontId="9" fillId="0" borderId="6" xfId="4" applyFont="1" applyBorder="1" applyAlignment="1">
      <alignment horizontal="left" vertical="top"/>
    </xf>
    <xf numFmtId="0" fontId="9" fillId="0" borderId="7" xfId="4" applyFont="1" applyBorder="1" applyAlignment="1">
      <alignment horizontal="left" vertical="top"/>
    </xf>
    <xf numFmtId="10" fontId="11" fillId="0" borderId="12" xfId="5" applyNumberFormat="1" applyFont="1" applyFill="1" applyBorder="1" applyAlignment="1">
      <alignment horizontal="center" vertical="top"/>
    </xf>
    <xf numFmtId="0" fontId="11" fillId="3" borderId="12" xfId="4" applyFont="1" applyFill="1" applyBorder="1" applyAlignment="1">
      <alignment horizontal="center" vertical="top"/>
    </xf>
    <xf numFmtId="0" fontId="9" fillId="0" borderId="12" xfId="4" applyFont="1" applyBorder="1" applyAlignment="1">
      <alignment horizontal="center" vertical="top"/>
    </xf>
    <xf numFmtId="10" fontId="9" fillId="0" borderId="0" xfId="5" applyNumberFormat="1" applyFont="1" applyFill="1" applyBorder="1" applyAlignment="1">
      <alignment horizontal="center" vertical="top"/>
    </xf>
    <xf numFmtId="0" fontId="9" fillId="0" borderId="0" xfId="4" applyFont="1" applyAlignment="1">
      <alignment horizontal="left" vertical="center" wrapText="1"/>
    </xf>
    <xf numFmtId="0" fontId="9" fillId="0" borderId="12" xfId="4" applyFont="1" applyBorder="1" applyAlignment="1">
      <alignment horizontal="center" vertical="center"/>
    </xf>
    <xf numFmtId="0" fontId="11" fillId="0" borderId="0" xfId="4" applyFont="1" applyAlignment="1">
      <alignment horizontal="left" vertical="top"/>
    </xf>
    <xf numFmtId="0" fontId="13" fillId="2" borderId="0" xfId="0" applyFont="1" applyFill="1"/>
    <xf numFmtId="0" fontId="3" fillId="2" borderId="2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right"/>
    </xf>
    <xf numFmtId="17" fontId="13" fillId="2" borderId="2" xfId="0" applyNumberFormat="1" applyFont="1" applyFill="1" applyBorder="1" applyAlignment="1">
      <alignment horizontal="left"/>
    </xf>
    <xf numFmtId="0" fontId="7" fillId="2" borderId="2" xfId="0" applyFont="1" applyFill="1" applyBorder="1"/>
    <xf numFmtId="0" fontId="7" fillId="2" borderId="3" xfId="0" applyFont="1" applyFill="1" applyBorder="1"/>
    <xf numFmtId="0" fontId="3" fillId="2" borderId="0" xfId="0" applyFont="1" applyFill="1"/>
    <xf numFmtId="0" fontId="2" fillId="2" borderId="10" xfId="0" applyFont="1" applyFill="1" applyBorder="1" applyAlignment="1">
      <alignment horizontal="left"/>
    </xf>
    <xf numFmtId="0" fontId="7" fillId="2" borderId="10" xfId="0" applyFont="1" applyFill="1" applyBorder="1"/>
    <xf numFmtId="0" fontId="7" fillId="2" borderId="11" xfId="0" applyFont="1" applyFill="1" applyBorder="1"/>
    <xf numFmtId="0" fontId="6" fillId="4" borderId="12" xfId="0" applyFont="1" applyFill="1" applyBorder="1" applyAlignment="1">
      <alignment horizontal="left" vertical="center" wrapText="1"/>
    </xf>
    <xf numFmtId="164" fontId="6" fillId="4" borderId="12" xfId="0" applyNumberFormat="1" applyFont="1" applyFill="1" applyBorder="1" applyAlignment="1">
      <alignment horizontal="left" vertical="center"/>
    </xf>
    <xf numFmtId="44" fontId="6" fillId="4" borderId="12" xfId="2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14" fillId="5" borderId="12" xfId="0" applyFont="1" applyFill="1" applyBorder="1" applyAlignment="1">
      <alignment horizontal="center"/>
    </xf>
    <xf numFmtId="44" fontId="15" fillId="5" borderId="12" xfId="2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6" fillId="2" borderId="10" xfId="0" applyFont="1" applyFill="1" applyBorder="1" applyAlignment="1">
      <alignment horizontal="left"/>
    </xf>
    <xf numFmtId="0" fontId="17" fillId="3" borderId="12" xfId="0" applyFont="1" applyFill="1" applyBorder="1" applyAlignment="1" applyProtection="1">
      <alignment horizontal="center" vertical="center"/>
      <protection locked="0"/>
    </xf>
    <xf numFmtId="0" fontId="17" fillId="3" borderId="12" xfId="0" applyFont="1" applyFill="1" applyBorder="1" applyAlignment="1">
      <alignment horizontal="center" vertical="center"/>
    </xf>
    <xf numFmtId="4" fontId="17" fillId="3" borderId="12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center"/>
    </xf>
    <xf numFmtId="0" fontId="17" fillId="4" borderId="12" xfId="0" applyFont="1" applyFill="1" applyBorder="1" applyAlignment="1" applyProtection="1">
      <alignment horizontal="center" vertical="center"/>
      <protection locked="0"/>
    </xf>
    <xf numFmtId="44" fontId="18" fillId="4" borderId="12" xfId="2" applyFont="1" applyFill="1" applyBorder="1" applyAlignment="1" applyProtection="1">
      <alignment horizontal="right" vertical="center"/>
      <protection locked="0"/>
    </xf>
    <xf numFmtId="0" fontId="17" fillId="4" borderId="12" xfId="6" applyFont="1" applyFill="1" applyBorder="1" applyAlignment="1">
      <alignment horizontal="center" vertical="center"/>
    </xf>
    <xf numFmtId="44" fontId="7" fillId="2" borderId="0" xfId="0" applyNumberFormat="1" applyFont="1" applyFill="1" applyAlignment="1">
      <alignment vertical="center"/>
    </xf>
    <xf numFmtId="0" fontId="17" fillId="4" borderId="12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44" fontId="18" fillId="3" borderId="12" xfId="2" applyFont="1" applyFill="1" applyBorder="1" applyAlignment="1" applyProtection="1">
      <alignment horizontal="right" vertical="center"/>
      <protection locked="0"/>
    </xf>
    <xf numFmtId="0" fontId="16" fillId="2" borderId="0" xfId="0" applyFont="1" applyFill="1" applyAlignment="1">
      <alignment horizontal="left" vertical="center"/>
    </xf>
    <xf numFmtId="44" fontId="18" fillId="3" borderId="12" xfId="2" applyFont="1" applyFill="1" applyBorder="1" applyAlignment="1">
      <alignment horizontal="center" vertical="center"/>
    </xf>
    <xf numFmtId="0" fontId="17" fillId="4" borderId="12" xfId="0" applyFont="1" applyFill="1" applyBorder="1" applyAlignment="1" applyProtection="1">
      <alignment horizontal="left" vertical="center"/>
      <protection locked="0"/>
    </xf>
    <xf numFmtId="44" fontId="20" fillId="4" borderId="12" xfId="2" applyFont="1" applyFill="1" applyBorder="1" applyAlignment="1" applyProtection="1">
      <alignment horizontal="right" vertical="center"/>
      <protection locked="0"/>
    </xf>
    <xf numFmtId="0" fontId="17" fillId="4" borderId="12" xfId="0" applyFont="1" applyFill="1" applyBorder="1" applyAlignment="1" applyProtection="1">
      <alignment vertical="center"/>
      <protection locked="0"/>
    </xf>
    <xf numFmtId="0" fontId="17" fillId="3" borderId="12" xfId="0" applyFont="1" applyFill="1" applyBorder="1" applyAlignment="1">
      <alignment vertical="center"/>
    </xf>
    <xf numFmtId="0" fontId="21" fillId="3" borderId="12" xfId="0" applyFont="1" applyFill="1" applyBorder="1" applyAlignment="1">
      <alignment horizontal="center" vertical="center"/>
    </xf>
    <xf numFmtId="10" fontId="18" fillId="3" borderId="12" xfId="3" applyNumberFormat="1" applyFont="1" applyFill="1" applyBorder="1" applyAlignment="1" applyProtection="1">
      <alignment horizontal="center" vertical="center"/>
      <protection locked="0"/>
    </xf>
    <xf numFmtId="10" fontId="17" fillId="3" borderId="12" xfId="3" applyNumberFormat="1" applyFont="1" applyFill="1" applyBorder="1" applyAlignment="1" applyProtection="1">
      <alignment horizontal="center" vertical="center"/>
      <protection locked="0"/>
    </xf>
    <xf numFmtId="44" fontId="7" fillId="2" borderId="0" xfId="2" applyFont="1" applyFill="1"/>
    <xf numFmtId="0" fontId="9" fillId="0" borderId="0" xfId="7" applyFont="1" applyAlignment="1">
      <alignment horizontal="left" vertical="top"/>
    </xf>
    <xf numFmtId="0" fontId="9" fillId="2" borderId="0" xfId="7" applyFont="1" applyFill="1" applyAlignment="1">
      <alignment horizontal="left" vertical="top"/>
    </xf>
    <xf numFmtId="0" fontId="22" fillId="0" borderId="0" xfId="7" applyFont="1" applyAlignment="1">
      <alignment horizontal="left" vertical="top"/>
    </xf>
    <xf numFmtId="0" fontId="9" fillId="0" borderId="0" xfId="7" applyFont="1" applyAlignment="1">
      <alignment horizontal="center" vertical="top"/>
    </xf>
    <xf numFmtId="0" fontId="9" fillId="0" borderId="0" xfId="7" applyFont="1" applyAlignment="1">
      <alignment horizontal="left" vertical="center"/>
    </xf>
    <xf numFmtId="43" fontId="9" fillId="0" borderId="0" xfId="8" applyFont="1" applyFill="1" applyBorder="1" applyAlignment="1">
      <alignment horizontal="center" vertical="center"/>
    </xf>
    <xf numFmtId="44" fontId="9" fillId="0" borderId="0" xfId="9" applyFont="1" applyFill="1" applyBorder="1" applyAlignment="1">
      <alignment horizontal="left" vertical="center"/>
    </xf>
    <xf numFmtId="44" fontId="11" fillId="0" borderId="12" xfId="9" applyFont="1" applyFill="1" applyBorder="1" applyAlignment="1">
      <alignment horizontal="center" vertical="center"/>
    </xf>
    <xf numFmtId="10" fontId="24" fillId="0" borderId="12" xfId="10" applyNumberFormat="1" applyFont="1" applyFill="1" applyBorder="1" applyAlignment="1">
      <alignment horizontal="center" vertical="center"/>
    </xf>
    <xf numFmtId="17" fontId="24" fillId="0" borderId="12" xfId="10" quotePrefix="1" applyNumberFormat="1" applyFont="1" applyFill="1" applyBorder="1" applyAlignment="1">
      <alignment horizontal="center" vertical="center"/>
    </xf>
    <xf numFmtId="44" fontId="9" fillId="0" borderId="0" xfId="9" applyFont="1" applyFill="1" applyBorder="1" applyAlignment="1">
      <alignment horizontal="left" vertical="center" wrapText="1"/>
    </xf>
    <xf numFmtId="0" fontId="2" fillId="0" borderId="13" xfId="7" applyFont="1" applyBorder="1" applyAlignment="1">
      <alignment horizontal="center" vertical="center" wrapText="1"/>
    </xf>
    <xf numFmtId="43" fontId="2" fillId="0" borderId="13" xfId="8" applyFont="1" applyFill="1" applyBorder="1" applyAlignment="1">
      <alignment horizontal="center" vertical="center" wrapText="1"/>
    </xf>
    <xf numFmtId="44" fontId="2" fillId="0" borderId="13" xfId="9" applyFont="1" applyFill="1" applyBorder="1" applyAlignment="1">
      <alignment horizontal="center" vertical="center" wrapText="1"/>
    </xf>
    <xf numFmtId="0" fontId="11" fillId="0" borderId="0" xfId="7" applyFont="1" applyAlignment="1">
      <alignment horizontal="center" vertical="center"/>
    </xf>
    <xf numFmtId="0" fontId="25" fillId="0" borderId="0" xfId="7" applyFont="1" applyAlignment="1">
      <alignment horizontal="center" vertical="center"/>
    </xf>
    <xf numFmtId="10" fontId="25" fillId="2" borderId="0" xfId="10" applyNumberFormat="1" applyFont="1" applyFill="1" applyAlignment="1">
      <alignment horizontal="center" vertical="center"/>
    </xf>
    <xf numFmtId="0" fontId="15" fillId="7" borderId="13" xfId="7" applyFont="1" applyFill="1" applyBorder="1" applyAlignment="1">
      <alignment horizontal="left" vertical="center" wrapText="1"/>
    </xf>
    <xf numFmtId="44" fontId="15" fillId="7" borderId="13" xfId="9" applyFont="1" applyFill="1" applyBorder="1" applyAlignment="1">
      <alignment horizontal="left" vertical="center" shrinkToFit="1"/>
    </xf>
    <xf numFmtId="0" fontId="15" fillId="6" borderId="13" xfId="7" applyFont="1" applyFill="1" applyBorder="1" applyAlignment="1">
      <alignment horizontal="left" vertical="center" wrapText="1"/>
    </xf>
    <xf numFmtId="0" fontId="15" fillId="6" borderId="13" xfId="7" applyFont="1" applyFill="1" applyBorder="1" applyAlignment="1">
      <alignment horizontal="center" vertical="center" wrapText="1"/>
    </xf>
    <xf numFmtId="43" fontId="26" fillId="6" borderId="13" xfId="8" applyFont="1" applyFill="1" applyBorder="1" applyAlignment="1">
      <alignment horizontal="center" vertical="center" wrapText="1"/>
    </xf>
    <xf numFmtId="44" fontId="26" fillId="6" borderId="13" xfId="9" applyFont="1" applyFill="1" applyBorder="1" applyAlignment="1">
      <alignment horizontal="left" vertical="center" wrapText="1"/>
    </xf>
    <xf numFmtId="44" fontId="26" fillId="6" borderId="14" xfId="9" applyFont="1" applyFill="1" applyBorder="1" applyAlignment="1">
      <alignment horizontal="left" vertical="center" wrapText="1"/>
    </xf>
    <xf numFmtId="44" fontId="15" fillId="6" borderId="13" xfId="9" applyFont="1" applyFill="1" applyBorder="1" applyAlignment="1">
      <alignment horizontal="left" vertical="center" shrinkToFit="1"/>
    </xf>
    <xf numFmtId="0" fontId="11" fillId="0" borderId="0" xfId="7" applyFont="1" applyAlignment="1">
      <alignment horizontal="left" vertical="top"/>
    </xf>
    <xf numFmtId="0" fontId="11" fillId="2" borderId="0" xfId="7" applyFont="1" applyFill="1" applyAlignment="1">
      <alignment horizontal="left" vertical="top"/>
    </xf>
    <xf numFmtId="10" fontId="25" fillId="0" borderId="0" xfId="10" applyNumberFormat="1" applyFont="1" applyAlignment="1">
      <alignment horizontal="center" vertical="center"/>
    </xf>
    <xf numFmtId="0" fontId="27" fillId="0" borderId="0" xfId="7" applyFont="1" applyAlignment="1">
      <alignment horizontal="left" vertical="top"/>
    </xf>
    <xf numFmtId="0" fontId="27" fillId="2" borderId="0" xfId="7" applyFont="1" applyFill="1" applyAlignment="1">
      <alignment horizontal="left" vertical="top"/>
    </xf>
    <xf numFmtId="165" fontId="11" fillId="8" borderId="13" xfId="7" applyNumberFormat="1" applyFont="1" applyFill="1" applyBorder="1" applyAlignment="1">
      <alignment horizontal="left" vertical="top" shrinkToFit="1"/>
    </xf>
    <xf numFmtId="0" fontId="11" fillId="8" borderId="13" xfId="7" applyFont="1" applyFill="1" applyBorder="1" applyAlignment="1">
      <alignment horizontal="center" vertical="center" wrapText="1"/>
    </xf>
    <xf numFmtId="0" fontId="2" fillId="8" borderId="13" xfId="7" applyFont="1" applyFill="1" applyBorder="1" applyAlignment="1">
      <alignment horizontal="left" vertical="center" wrapText="1"/>
    </xf>
    <xf numFmtId="43" fontId="11" fillId="8" borderId="13" xfId="8" applyFont="1" applyFill="1" applyBorder="1" applyAlignment="1">
      <alignment horizontal="center" vertical="center" wrapText="1"/>
    </xf>
    <xf numFmtId="44" fontId="11" fillId="8" borderId="13" xfId="9" applyFont="1" applyFill="1" applyBorder="1" applyAlignment="1">
      <alignment horizontal="left" vertical="center" wrapText="1"/>
    </xf>
    <xf numFmtId="44" fontId="11" fillId="8" borderId="14" xfId="9" applyFont="1" applyFill="1" applyBorder="1" applyAlignment="1">
      <alignment horizontal="left" vertical="center" wrapText="1"/>
    </xf>
    <xf numFmtId="44" fontId="11" fillId="8" borderId="13" xfId="9" applyFont="1" applyFill="1" applyBorder="1" applyAlignment="1">
      <alignment horizontal="left" vertical="center" shrinkToFit="1"/>
    </xf>
    <xf numFmtId="43" fontId="27" fillId="0" borderId="0" xfId="7" applyNumberFormat="1" applyFont="1" applyAlignment="1">
      <alignment horizontal="left" vertical="top"/>
    </xf>
    <xf numFmtId="43" fontId="27" fillId="2" borderId="0" xfId="7" applyNumberFormat="1" applyFont="1" applyFill="1" applyAlignment="1">
      <alignment horizontal="left" vertical="top"/>
    </xf>
    <xf numFmtId="0" fontId="11" fillId="8" borderId="13" xfId="7" applyFont="1" applyFill="1" applyBorder="1" applyAlignment="1">
      <alignment horizontal="left" vertical="center" wrapText="1"/>
    </xf>
    <xf numFmtId="43" fontId="28" fillId="8" borderId="13" xfId="8" applyFont="1" applyFill="1" applyBorder="1" applyAlignment="1">
      <alignment horizontal="center" vertical="center" wrapText="1"/>
    </xf>
    <xf numFmtId="44" fontId="9" fillId="8" borderId="13" xfId="9" applyFont="1" applyFill="1" applyBorder="1" applyAlignment="1">
      <alignment horizontal="left" vertical="center" wrapText="1"/>
    </xf>
    <xf numFmtId="44" fontId="9" fillId="8" borderId="14" xfId="9" applyFont="1" applyFill="1" applyBorder="1" applyAlignment="1">
      <alignment horizontal="left" vertical="center" wrapText="1"/>
    </xf>
    <xf numFmtId="0" fontId="6" fillId="0" borderId="0" xfId="7" applyFont="1" applyAlignment="1">
      <alignment horizontal="left" vertical="top"/>
    </xf>
    <xf numFmtId="44" fontId="6" fillId="2" borderId="10" xfId="0" applyNumberFormat="1" applyFont="1" applyFill="1" applyBorder="1" applyAlignment="1">
      <alignment horizontal="left"/>
    </xf>
    <xf numFmtId="10" fontId="25" fillId="2" borderId="0" xfId="10" applyNumberFormat="1" applyFont="1" applyFill="1" applyBorder="1" applyAlignment="1">
      <alignment horizontal="center" vertical="center"/>
    </xf>
    <xf numFmtId="0" fontId="11" fillId="2" borderId="0" xfId="7" applyFont="1" applyFill="1" applyAlignment="1">
      <alignment horizontal="center" vertical="center"/>
    </xf>
    <xf numFmtId="0" fontId="25" fillId="2" borderId="0" xfId="7" applyFont="1" applyFill="1" applyAlignment="1">
      <alignment horizontal="center" vertical="center"/>
    </xf>
    <xf numFmtId="165" fontId="11" fillId="3" borderId="13" xfId="7" applyNumberFormat="1" applyFont="1" applyFill="1" applyBorder="1" applyAlignment="1">
      <alignment horizontal="left" vertical="top" shrinkToFit="1"/>
    </xf>
    <xf numFmtId="44" fontId="9" fillId="0" borderId="0" xfId="7" applyNumberFormat="1" applyFont="1" applyAlignment="1">
      <alignment horizontal="left" vertical="top"/>
    </xf>
    <xf numFmtId="2" fontId="29" fillId="2" borderId="0" xfId="0" applyNumberFormat="1" applyFont="1" applyFill="1" applyAlignment="1">
      <alignment horizontal="center" vertical="center"/>
    </xf>
    <xf numFmtId="2" fontId="29" fillId="2" borderId="0" xfId="0" applyNumberFormat="1" applyFont="1" applyFill="1"/>
    <xf numFmtId="2" fontId="31" fillId="2" borderId="0" xfId="11" applyNumberFormat="1" applyFont="1" applyFill="1" applyAlignment="1">
      <alignment horizontal="center" vertical="center"/>
    </xf>
    <xf numFmtId="2" fontId="29" fillId="2" borderId="0" xfId="0" applyNumberFormat="1" applyFont="1" applyFill="1" applyAlignment="1">
      <alignment horizontal="center"/>
    </xf>
    <xf numFmtId="2" fontId="30" fillId="2" borderId="0" xfId="0" applyNumberFormat="1" applyFont="1" applyFill="1"/>
    <xf numFmtId="2" fontId="30" fillId="2" borderId="0" xfId="13" applyNumberFormat="1" applyFont="1" applyFill="1" applyBorder="1" applyAlignment="1">
      <alignment horizontal="center" vertical="center"/>
    </xf>
    <xf numFmtId="2" fontId="31" fillId="2" borderId="0" xfId="11" applyNumberFormat="1" applyFont="1" applyFill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0" xfId="7" applyFont="1" applyAlignment="1">
      <alignment horizontal="center" vertical="center"/>
    </xf>
    <xf numFmtId="2" fontId="32" fillId="2" borderId="0" xfId="1" applyNumberFormat="1" applyFont="1" applyFill="1" applyAlignment="1">
      <alignment horizontal="center"/>
    </xf>
    <xf numFmtId="2" fontId="32" fillId="2" borderId="0" xfId="1" applyNumberFormat="1" applyFont="1" applyFill="1" applyAlignment="1">
      <alignment horizontal="center" vertical="center"/>
    </xf>
    <xf numFmtId="2" fontId="33" fillId="2" borderId="0" xfId="11" applyNumberFormat="1" applyFont="1" applyFill="1" applyAlignment="1">
      <alignment vertical="center"/>
    </xf>
    <xf numFmtId="2" fontId="34" fillId="2" borderId="0" xfId="0" applyNumberFormat="1" applyFont="1" applyFill="1" applyAlignment="1">
      <alignment horizontal="center" vertical="center"/>
    </xf>
    <xf numFmtId="2" fontId="35" fillId="2" borderId="0" xfId="0" applyNumberFormat="1" applyFont="1" applyFill="1" applyAlignment="1">
      <alignment horizontal="center" vertical="center"/>
    </xf>
    <xf numFmtId="2" fontId="34" fillId="2" borderId="0" xfId="11" applyNumberFormat="1" applyFont="1" applyFill="1" applyAlignment="1">
      <alignment horizontal="center" vertical="center"/>
    </xf>
    <xf numFmtId="2" fontId="33" fillId="2" borderId="0" xfId="11" applyNumberFormat="1" applyFont="1" applyFill="1" applyAlignment="1">
      <alignment horizontal="center" vertical="center"/>
    </xf>
    <xf numFmtId="2" fontId="34" fillId="2" borderId="0" xfId="0" quotePrefix="1" applyNumberFormat="1" applyFont="1" applyFill="1" applyAlignment="1">
      <alignment horizontal="center" vertical="center"/>
    </xf>
    <xf numFmtId="2" fontId="36" fillId="2" borderId="0" xfId="11" applyNumberFormat="1" applyFont="1" applyFill="1" applyAlignment="1">
      <alignment vertical="center"/>
    </xf>
    <xf numFmtId="2" fontId="33" fillId="2" borderId="12" xfId="11" applyNumberFormat="1" applyFont="1" applyFill="1" applyBorder="1" applyAlignment="1">
      <alignment horizontal="center" vertical="center" wrapText="1"/>
    </xf>
    <xf numFmtId="2" fontId="34" fillId="2" borderId="12" xfId="11" applyNumberFormat="1" applyFont="1" applyFill="1" applyBorder="1" applyAlignment="1">
      <alignment horizontal="center" vertical="center"/>
    </xf>
    <xf numFmtId="2" fontId="37" fillId="2" borderId="12" xfId="12" applyNumberFormat="1" applyFont="1" applyFill="1" applyBorder="1" applyAlignment="1">
      <alignment horizontal="center" vertical="center"/>
    </xf>
    <xf numFmtId="2" fontId="33" fillId="2" borderId="12" xfId="11" applyNumberFormat="1" applyFont="1" applyFill="1" applyBorder="1" applyAlignment="1">
      <alignment horizontal="center" vertical="center"/>
    </xf>
    <xf numFmtId="2" fontId="38" fillId="2" borderId="0" xfId="11" applyNumberFormat="1" applyFont="1" applyFill="1" applyAlignment="1">
      <alignment horizontal="center" vertical="center"/>
    </xf>
    <xf numFmtId="2" fontId="34" fillId="2" borderId="0" xfId="13" applyNumberFormat="1" applyFont="1" applyFill="1" applyBorder="1" applyAlignment="1">
      <alignment horizontal="center" vertical="center"/>
    </xf>
    <xf numFmtId="2" fontId="38" fillId="2" borderId="12" xfId="11" applyNumberFormat="1" applyFont="1" applyFill="1" applyBorder="1" applyAlignment="1">
      <alignment horizontal="center" vertical="center"/>
    </xf>
    <xf numFmtId="2" fontId="40" fillId="2" borderId="0" xfId="11" applyNumberFormat="1" applyFont="1" applyFill="1" applyAlignment="1">
      <alignment horizontal="center" vertical="center"/>
    </xf>
    <xf numFmtId="2" fontId="41" fillId="2" borderId="0" xfId="11" applyNumberFormat="1" applyFont="1" applyFill="1" applyAlignment="1">
      <alignment horizontal="center" vertical="center"/>
    </xf>
    <xf numFmtId="2" fontId="34" fillId="2" borderId="12" xfId="14" applyNumberFormat="1" applyFont="1" applyFill="1" applyBorder="1" applyAlignment="1">
      <alignment horizontal="center" vertical="center"/>
    </xf>
    <xf numFmtId="2" fontId="35" fillId="2" borderId="0" xfId="0" applyNumberFormat="1" applyFont="1" applyFill="1"/>
    <xf numFmtId="2" fontId="33" fillId="2" borderId="0" xfId="11" applyNumberFormat="1" applyFont="1" applyFill="1" applyAlignment="1">
      <alignment horizontal="center" vertical="center" wrapText="1"/>
    </xf>
    <xf numFmtId="2" fontId="33" fillId="2" borderId="0" xfId="11" applyNumberFormat="1" applyFont="1" applyFill="1" applyAlignment="1">
      <alignment horizontal="right" vertical="center"/>
    </xf>
    <xf numFmtId="2" fontId="34" fillId="2" borderId="0" xfId="11" applyNumberFormat="1" applyFont="1" applyFill="1" applyAlignment="1">
      <alignment horizontal="left" vertical="center"/>
    </xf>
    <xf numFmtId="167" fontId="34" fillId="2" borderId="12" xfId="11" applyNumberFormat="1" applyFont="1" applyFill="1" applyBorder="1" applyAlignment="1">
      <alignment horizontal="center" vertical="center"/>
    </xf>
    <xf numFmtId="2" fontId="42" fillId="2" borderId="0" xfId="11" applyNumberFormat="1" applyFont="1" applyFill="1" applyAlignment="1">
      <alignment horizontal="center" vertical="center"/>
    </xf>
    <xf numFmtId="167" fontId="34" fillId="2" borderId="12" xfId="14" applyNumberFormat="1" applyFont="1" applyFill="1" applyBorder="1" applyAlignment="1">
      <alignment horizontal="center" vertical="center"/>
    </xf>
    <xf numFmtId="0" fontId="43" fillId="2" borderId="10" xfId="0" applyFont="1" applyFill="1" applyBorder="1" applyAlignment="1">
      <alignment horizontal="left"/>
    </xf>
    <xf numFmtId="2" fontId="46" fillId="2" borderId="0" xfId="0" applyNumberFormat="1" applyFont="1" applyFill="1" applyAlignment="1">
      <alignment horizontal="left" vertical="center"/>
    </xf>
    <xf numFmtId="2" fontId="33" fillId="2" borderId="0" xfId="11" applyNumberFormat="1" applyFont="1" applyFill="1" applyAlignment="1">
      <alignment horizontal="left" vertical="center"/>
    </xf>
    <xf numFmtId="2" fontId="48" fillId="2" borderId="0" xfId="11" applyNumberFormat="1" applyFont="1" applyFill="1" applyAlignment="1">
      <alignment horizontal="center" vertical="center"/>
    </xf>
    <xf numFmtId="2" fontId="39" fillId="2" borderId="0" xfId="0" applyNumberFormat="1" applyFont="1" applyFill="1"/>
    <xf numFmtId="0" fontId="6" fillId="4" borderId="12" xfId="0" applyFont="1" applyFill="1" applyBorder="1" applyAlignment="1">
      <alignment horizontal="center" vertical="center"/>
    </xf>
    <xf numFmtId="44" fontId="7" fillId="2" borderId="10" xfId="2" applyFont="1" applyFill="1" applyBorder="1"/>
    <xf numFmtId="165" fontId="9" fillId="0" borderId="13" xfId="7" applyNumberFormat="1" applyFont="1" applyBorder="1" applyAlignment="1">
      <alignment horizontal="left" vertical="top" shrinkToFit="1"/>
    </xf>
    <xf numFmtId="1" fontId="9" fillId="0" borderId="13" xfId="7" applyNumberFormat="1" applyFont="1" applyBorder="1" applyAlignment="1">
      <alignment horizontal="center" vertical="top" shrinkToFit="1"/>
    </xf>
    <xf numFmtId="0" fontId="6" fillId="0" borderId="13" xfId="7" applyFont="1" applyBorder="1" applyAlignment="1">
      <alignment horizontal="center" vertical="top" wrapText="1"/>
    </xf>
    <xf numFmtId="0" fontId="6" fillId="0" borderId="13" xfId="7" applyFont="1" applyBorder="1" applyAlignment="1">
      <alignment horizontal="left" vertical="center" wrapText="1"/>
    </xf>
    <xf numFmtId="43" fontId="6" fillId="0" borderId="13" xfId="8" applyFont="1" applyFill="1" applyBorder="1" applyAlignment="1">
      <alignment horizontal="center" vertical="center" shrinkToFit="1"/>
    </xf>
    <xf numFmtId="44" fontId="9" fillId="0" borderId="13" xfId="9" applyFont="1" applyFill="1" applyBorder="1" applyAlignment="1">
      <alignment horizontal="left" vertical="center" shrinkToFit="1"/>
    </xf>
    <xf numFmtId="44" fontId="6" fillId="0" borderId="14" xfId="9" applyFont="1" applyFill="1" applyBorder="1" applyAlignment="1">
      <alignment horizontal="left" vertical="center" shrinkToFit="1"/>
    </xf>
    <xf numFmtId="44" fontId="6" fillId="0" borderId="13" xfId="9" applyFont="1" applyFill="1" applyBorder="1" applyAlignment="1">
      <alignment horizontal="left" vertical="center" shrinkToFit="1"/>
    </xf>
    <xf numFmtId="165" fontId="6" fillId="0" borderId="13" xfId="7" applyNumberFormat="1" applyFont="1" applyBorder="1" applyAlignment="1">
      <alignment horizontal="left" vertical="top" shrinkToFit="1"/>
    </xf>
    <xf numFmtId="1" fontId="6" fillId="0" borderId="13" xfId="7" applyNumberFormat="1" applyFont="1" applyBorder="1" applyAlignment="1">
      <alignment horizontal="center" vertical="top" shrinkToFit="1"/>
    </xf>
    <xf numFmtId="43" fontId="9" fillId="0" borderId="13" xfId="8" applyFont="1" applyFill="1" applyBorder="1" applyAlignment="1">
      <alignment horizontal="center" vertical="center" shrinkToFit="1"/>
    </xf>
    <xf numFmtId="0" fontId="6" fillId="0" borderId="13" xfId="7" applyFont="1" applyBorder="1" applyAlignment="1">
      <alignment horizontal="center" vertical="center" wrapText="1"/>
    </xf>
    <xf numFmtId="166" fontId="9" fillId="0" borderId="13" xfId="7" applyNumberFormat="1" applyFont="1" applyBorder="1" applyAlignment="1">
      <alignment horizontal="center" vertical="top" shrinkToFit="1"/>
    </xf>
    <xf numFmtId="0" fontId="6" fillId="0" borderId="13" xfId="7" applyFont="1" applyBorder="1" applyAlignment="1">
      <alignment horizontal="left" vertical="top" wrapText="1"/>
    </xf>
    <xf numFmtId="166" fontId="6" fillId="0" borderId="13" xfId="7" applyNumberFormat="1" applyFont="1" applyBorder="1" applyAlignment="1">
      <alignment horizontal="center" vertical="top" shrinkToFit="1"/>
    </xf>
    <xf numFmtId="44" fontId="11" fillId="0" borderId="14" xfId="9" applyFont="1" applyFill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/>
    </xf>
    <xf numFmtId="0" fontId="11" fillId="2" borderId="0" xfId="7" applyFont="1" applyFill="1" applyAlignment="1">
      <alignment horizontal="center" vertical="center"/>
    </xf>
    <xf numFmtId="0" fontId="9" fillId="2" borderId="0" xfId="4" applyFont="1" applyFill="1" applyAlignment="1">
      <alignment horizontal="center" vertical="top"/>
    </xf>
    <xf numFmtId="2" fontId="15" fillId="7" borderId="14" xfId="7" applyNumberFormat="1" applyFont="1" applyFill="1" applyBorder="1" applyAlignment="1">
      <alignment horizontal="left" vertical="top" wrapText="1"/>
    </xf>
    <xf numFmtId="0" fontId="15" fillId="7" borderId="15" xfId="7" applyFont="1" applyFill="1" applyBorder="1" applyAlignment="1">
      <alignment horizontal="left" vertical="top" wrapText="1"/>
    </xf>
    <xf numFmtId="0" fontId="15" fillId="7" borderId="16" xfId="7" applyFont="1" applyFill="1" applyBorder="1" applyAlignment="1">
      <alignment horizontal="left" vertical="top" wrapText="1"/>
    </xf>
    <xf numFmtId="0" fontId="11" fillId="0" borderId="6" xfId="7" applyFont="1" applyBorder="1" applyAlignment="1">
      <alignment horizontal="center" vertical="top"/>
    </xf>
    <xf numFmtId="0" fontId="11" fillId="0" borderId="7" xfId="7" applyFont="1" applyBorder="1" applyAlignment="1">
      <alignment horizontal="center" vertical="top"/>
    </xf>
    <xf numFmtId="0" fontId="11" fillId="0" borderId="8" xfId="7" applyFont="1" applyBorder="1" applyAlignment="1">
      <alignment horizontal="center" vertical="top"/>
    </xf>
    <xf numFmtId="2" fontId="33" fillId="2" borderId="12" xfId="11" applyNumberFormat="1" applyFont="1" applyFill="1" applyBorder="1" applyAlignment="1">
      <alignment horizontal="center" vertical="center"/>
    </xf>
    <xf numFmtId="2" fontId="33" fillId="2" borderId="12" xfId="11" applyNumberFormat="1" applyFont="1" applyFill="1" applyBorder="1" applyAlignment="1">
      <alignment horizontal="center" vertical="center" wrapText="1"/>
    </xf>
    <xf numFmtId="0" fontId="44" fillId="2" borderId="0" xfId="4" applyFont="1" applyFill="1" applyAlignment="1">
      <alignment horizontal="center" vertical="top"/>
    </xf>
    <xf numFmtId="2" fontId="47" fillId="9" borderId="18" xfId="11" applyNumberFormat="1" applyFont="1" applyFill="1" applyBorder="1" applyAlignment="1">
      <alignment horizontal="left" vertical="center"/>
    </xf>
    <xf numFmtId="2" fontId="47" fillId="9" borderId="19" xfId="11" applyNumberFormat="1" applyFont="1" applyFill="1" applyBorder="1" applyAlignment="1">
      <alignment horizontal="left" vertical="center"/>
    </xf>
    <xf numFmtId="2" fontId="47" fillId="9" borderId="20" xfId="11" applyNumberFormat="1" applyFont="1" applyFill="1" applyBorder="1" applyAlignment="1">
      <alignment horizontal="left" vertical="center"/>
    </xf>
    <xf numFmtId="2" fontId="45" fillId="9" borderId="17" xfId="11" applyNumberFormat="1" applyFont="1" applyFill="1" applyBorder="1" applyAlignment="1">
      <alignment horizontal="center" vertical="center"/>
    </xf>
    <xf numFmtId="2" fontId="45" fillId="9" borderId="0" xfId="11" applyNumberFormat="1" applyFont="1" applyFill="1" applyAlignment="1">
      <alignment horizontal="center" vertical="center"/>
    </xf>
    <xf numFmtId="2" fontId="33" fillId="2" borderId="0" xfId="11" applyNumberFormat="1" applyFont="1" applyFill="1" applyAlignment="1">
      <alignment horizontal="right" vertical="center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9" fillId="0" borderId="9" xfId="4" applyFont="1" applyBorder="1" applyAlignment="1">
      <alignment horizontal="left" vertical="top" wrapText="1"/>
    </xf>
    <xf numFmtId="0" fontId="9" fillId="0" borderId="10" xfId="4" applyFont="1" applyBorder="1" applyAlignment="1">
      <alignment horizontal="left" vertical="top" wrapText="1"/>
    </xf>
    <xf numFmtId="0" fontId="9" fillId="0" borderId="11" xfId="4" applyFont="1" applyBorder="1" applyAlignment="1">
      <alignment horizontal="left" vertical="top" wrapText="1"/>
    </xf>
    <xf numFmtId="0" fontId="9" fillId="0" borderId="0" xfId="4" applyFont="1" applyAlignment="1">
      <alignment horizontal="center" vertical="top"/>
    </xf>
    <xf numFmtId="0" fontId="9" fillId="0" borderId="10" xfId="4" applyFont="1" applyBorder="1" applyAlignment="1">
      <alignment horizontal="center" vertical="top"/>
    </xf>
    <xf numFmtId="0" fontId="9" fillId="0" borderId="4" xfId="4" applyFont="1" applyBorder="1" applyAlignment="1">
      <alignment horizontal="left" vertical="top" wrapText="1"/>
    </xf>
    <xf numFmtId="0" fontId="9" fillId="0" borderId="0" xfId="4" applyFont="1" applyAlignment="1">
      <alignment horizontal="left" vertical="top" wrapText="1"/>
    </xf>
    <xf numFmtId="0" fontId="9" fillId="0" borderId="5" xfId="4" applyFont="1" applyBorder="1" applyAlignment="1">
      <alignment horizontal="left" vertical="top" wrapText="1"/>
    </xf>
    <xf numFmtId="0" fontId="9" fillId="0" borderId="12" xfId="4" applyFont="1" applyBorder="1" applyAlignment="1">
      <alignment horizontal="left" vertical="top"/>
    </xf>
    <xf numFmtId="10" fontId="9" fillId="0" borderId="12" xfId="5" applyNumberFormat="1" applyFont="1" applyFill="1" applyBorder="1" applyAlignment="1">
      <alignment horizontal="center" vertical="top"/>
    </xf>
    <xf numFmtId="0" fontId="11" fillId="3" borderId="12" xfId="4" applyFont="1" applyFill="1" applyBorder="1" applyAlignment="1">
      <alignment horizontal="center" vertical="center"/>
    </xf>
    <xf numFmtId="10" fontId="11" fillId="3" borderId="12" xfId="5" applyNumberFormat="1" applyFont="1" applyFill="1" applyBorder="1" applyAlignment="1">
      <alignment horizontal="center" vertical="center"/>
    </xf>
    <xf numFmtId="0" fontId="11" fillId="3" borderId="12" xfId="4" applyFont="1" applyFill="1" applyBorder="1" applyAlignment="1">
      <alignment horizontal="center" vertical="center" wrapText="1"/>
    </xf>
    <xf numFmtId="0" fontId="9" fillId="0" borderId="12" xfId="4" applyFont="1" applyBorder="1" applyAlignment="1">
      <alignment horizontal="left" vertical="center" wrapText="1"/>
    </xf>
    <xf numFmtId="10" fontId="9" fillId="0" borderId="12" xfId="5" applyNumberFormat="1" applyFont="1" applyFill="1" applyBorder="1" applyAlignment="1">
      <alignment horizontal="center" vertical="center"/>
    </xf>
    <xf numFmtId="0" fontId="9" fillId="0" borderId="1" xfId="4" applyFont="1" applyBorder="1" applyAlignment="1">
      <alignment horizontal="left" vertical="top" wrapText="1"/>
    </xf>
    <xf numFmtId="0" fontId="9" fillId="0" borderId="2" xfId="4" applyFont="1" applyBorder="1" applyAlignment="1">
      <alignment horizontal="left" vertical="top" wrapText="1"/>
    </xf>
    <xf numFmtId="0" fontId="9" fillId="0" borderId="3" xfId="4" applyFont="1" applyBorder="1" applyAlignment="1">
      <alignment horizontal="left" vertical="top" wrapText="1"/>
    </xf>
    <xf numFmtId="0" fontId="10" fillId="3" borderId="6" xfId="4" applyFont="1" applyFill="1" applyBorder="1" applyAlignment="1">
      <alignment horizontal="center" vertical="center" wrapText="1"/>
    </xf>
    <xf numFmtId="0" fontId="10" fillId="3" borderId="7" xfId="4" applyFont="1" applyFill="1" applyBorder="1" applyAlignment="1">
      <alignment horizontal="center" vertical="center" wrapText="1"/>
    </xf>
    <xf numFmtId="0" fontId="10" fillId="3" borderId="8" xfId="4" applyFont="1" applyFill="1" applyBorder="1" applyAlignment="1">
      <alignment horizontal="center" vertical="center" wrapText="1"/>
    </xf>
    <xf numFmtId="0" fontId="6" fillId="2" borderId="4" xfId="4" applyFont="1" applyFill="1" applyBorder="1" applyAlignment="1">
      <alignment horizontal="left" vertical="center" wrapText="1"/>
    </xf>
    <xf numFmtId="0" fontId="6" fillId="2" borderId="0" xfId="4" applyFont="1" applyFill="1" applyAlignment="1">
      <alignment horizontal="left" vertical="center" wrapText="1"/>
    </xf>
    <xf numFmtId="0" fontId="6" fillId="2" borderId="5" xfId="4" applyFont="1" applyFill="1" applyBorder="1" applyAlignment="1">
      <alignment horizontal="left" vertical="center" wrapText="1"/>
    </xf>
    <xf numFmtId="0" fontId="11" fillId="3" borderId="12" xfId="4" applyFont="1" applyFill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2" fontId="16" fillId="2" borderId="0" xfId="0" applyNumberFormat="1" applyFont="1" applyFill="1" applyAlignment="1">
      <alignment horizontal="center" vertical="center" wrapText="1"/>
    </xf>
    <xf numFmtId="0" fontId="15" fillId="6" borderId="12" xfId="0" applyFont="1" applyFill="1" applyBorder="1" applyAlignment="1">
      <alignment horizontal="center"/>
    </xf>
    <xf numFmtId="0" fontId="16" fillId="3" borderId="12" xfId="0" applyFont="1" applyFill="1" applyBorder="1" applyAlignment="1" applyProtection="1">
      <alignment horizontal="left" vertical="top"/>
      <protection locked="0"/>
    </xf>
    <xf numFmtId="2" fontId="16" fillId="3" borderId="12" xfId="0" applyNumberFormat="1" applyFont="1" applyFill="1" applyBorder="1" applyAlignment="1">
      <alignment horizontal="left"/>
    </xf>
    <xf numFmtId="0" fontId="16" fillId="3" borderId="12" xfId="0" applyFont="1" applyFill="1" applyBorder="1" applyAlignment="1">
      <alignment horizontal="left"/>
    </xf>
  </cellXfs>
  <cellStyles count="15">
    <cellStyle name="Moeda" xfId="2" builtinId="4"/>
    <cellStyle name="Moeda 34" xfId="9" xr:uid="{00000000-0005-0000-0000-000001000000}"/>
    <cellStyle name="Normal" xfId="0" builtinId="0"/>
    <cellStyle name="Normal 11 3" xfId="7" xr:uid="{00000000-0005-0000-0000-000003000000}"/>
    <cellStyle name="Normal 2 22" xfId="11" xr:uid="{00000000-0005-0000-0000-000004000000}"/>
    <cellStyle name="Normal 2 3" xfId="4" xr:uid="{00000000-0005-0000-0000-000005000000}"/>
    <cellStyle name="Normal 5" xfId="6" xr:uid="{00000000-0005-0000-0000-000006000000}"/>
    <cellStyle name="Porcentagem" xfId="3" builtinId="5"/>
    <cellStyle name="Porcentagem 2" xfId="10" xr:uid="{00000000-0005-0000-0000-000008000000}"/>
    <cellStyle name="Porcentagem 3" xfId="5" xr:uid="{00000000-0005-0000-0000-000009000000}"/>
    <cellStyle name="Separador de milhares 2 15 2" xfId="13" xr:uid="{00000000-0005-0000-0000-00000A000000}"/>
    <cellStyle name="Vírgula" xfId="1" builtinId="3"/>
    <cellStyle name="Vírgula 2 4" xfId="14" xr:uid="{00000000-0005-0000-0000-00000C000000}"/>
    <cellStyle name="Vírgula 31" xfId="8" xr:uid="{00000000-0005-0000-0000-00000D000000}"/>
    <cellStyle name="Vírgula 4 5 12" xfId="12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214310</xdr:colOff>
      <xdr:row>21</xdr:row>
      <xdr:rowOff>47625</xdr:rowOff>
    </xdr:from>
    <xdr:ext cx="2414589" cy="35645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00000000-0008-0000-0400-000002000000}"/>
                </a:ext>
              </a:extLst>
            </xdr:cNvPr>
            <xdr:cNvSpPr txBox="1"/>
          </xdr:nvSpPr>
          <xdr:spPr>
            <a:xfrm>
              <a:off x="4953950" y="3880485"/>
              <a:ext cx="2414589" cy="3564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050">
                  <a:latin typeface="+mn-lt"/>
                </a:rPr>
                <a:t>BDI</a:t>
              </a:r>
              <a:r>
                <a:rPr lang="pt-BR" sz="1050" baseline="0">
                  <a:latin typeface="+mn-lt"/>
                </a:rPr>
                <a:t> = </a:t>
              </a:r>
              <a14:m>
                <m:oMath xmlns:m="http://schemas.openxmlformats.org/officeDocument/2006/math">
                  <m:d>
                    <m:dPr>
                      <m:begChr m:val="{"/>
                      <m:endChr m:val="}"/>
                      <m:ctrlPr>
                        <a:rPr lang="pt-BR" sz="1050" i="1">
                          <a:latin typeface="Cambria Math" panose="02040503050406030204" pitchFamily="18" charset="0"/>
                        </a:rPr>
                      </m:ctrlPr>
                    </m:dPr>
                    <m:e>
                      <m:d>
                        <m:dPr>
                          <m:begChr m:val="["/>
                          <m:endChr m:val="]"/>
                          <m:ctrlPr>
                            <a:rPr lang="pt-BR" sz="1050" i="1">
                              <a:latin typeface="Cambria Math" panose="02040503050406030204" pitchFamily="18" charset="0"/>
                            </a:rPr>
                          </m:ctrlPr>
                        </m:dPr>
                        <m:e>
                          <m:f>
                            <m:fPr>
                              <m:ctrlPr>
                                <a:rPr lang="pt-BR" sz="1050" i="1">
                                  <a:latin typeface="Cambria Math" panose="02040503050406030204" pitchFamily="18" charset="0"/>
                                </a:rPr>
                              </m:ctrlPr>
                            </m:fPr>
                            <m:num>
                              <m:d>
                                <m:dPr>
                                  <m:ctrlP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</m:ctrlPr>
                                </m:dPr>
                                <m:e>
                                  <m: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  <m:t>1+</m:t>
                                  </m:r>
                                  <m: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  <m:t>𝐴𝐶</m:t>
                                  </m:r>
                                  <m: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  <m:t>+</m:t>
                                  </m:r>
                                  <m: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  <m:t>𝐺</m:t>
                                  </m:r>
                                  <m: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  <m:t>+</m:t>
                                  </m:r>
                                  <m: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  <m:t>𝑅</m:t>
                                  </m:r>
                                </m:e>
                              </m:d>
                              <m:r>
                                <a:rPr lang="pt-BR" sz="1050" b="0" i="1">
                                  <a:latin typeface="Cambria Math" panose="02040503050406030204" pitchFamily="18" charset="0"/>
                                </a:rPr>
                                <m:t>∗</m:t>
                              </m:r>
                              <m:d>
                                <m:dPr>
                                  <m:ctrlP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</m:ctrlPr>
                                </m:dPr>
                                <m:e>
                                  <m: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  <m:t>1+</m:t>
                                  </m:r>
                                  <m:r>
                                    <a:rPr lang="pt-BR" sz="1050" b="0" i="1">
                                      <a:latin typeface="Cambria Math" panose="02040503050406030204" pitchFamily="18" charset="0"/>
                                    </a:rPr>
                                    <m:t>𝐷𝐹</m:t>
                                  </m:r>
                                </m:e>
                              </m:d>
                              <m:r>
                                <a:rPr lang="pt-BR" sz="1050" b="0" i="1">
                                  <a:latin typeface="Cambria Math" panose="02040503050406030204" pitchFamily="18" charset="0"/>
                                </a:rPr>
                                <m:t>∗(1+</m:t>
                              </m:r>
                              <m:r>
                                <a:rPr lang="pt-BR" sz="1050" b="0" i="1">
                                  <a:latin typeface="Cambria Math" panose="02040503050406030204" pitchFamily="18" charset="0"/>
                                </a:rPr>
                                <m:t>𝐿</m:t>
                              </m:r>
                              <m:r>
                                <a:rPr lang="pt-BR" sz="1050" b="0" i="1">
                                  <a:latin typeface="Cambria Math" panose="02040503050406030204" pitchFamily="18" charset="0"/>
                                </a:rPr>
                                <m:t>)</m:t>
                              </m:r>
                            </m:num>
                            <m:den>
                              <m:r>
                                <a:rPr lang="pt-BR" sz="1050" b="0" i="1">
                                  <a:latin typeface="Cambria Math" panose="02040503050406030204" pitchFamily="18" charset="0"/>
                                </a:rPr>
                                <m:t>1−</m:t>
                              </m:r>
                              <m:r>
                                <a:rPr lang="pt-BR" sz="1050" b="0" i="1">
                                  <a:latin typeface="Cambria Math" panose="02040503050406030204" pitchFamily="18" charset="0"/>
                                </a:rPr>
                                <m:t>𝐼</m:t>
                              </m:r>
                            </m:den>
                          </m:f>
                        </m:e>
                      </m:d>
                      <m:r>
                        <a:rPr lang="pt-BR" sz="1050" b="0" i="1">
                          <a:latin typeface="Cambria Math" panose="02040503050406030204" pitchFamily="18" charset="0"/>
                        </a:rPr>
                        <m:t>−1</m:t>
                      </m:r>
                    </m:e>
                  </m:d>
                  <m:r>
                    <a:rPr lang="pt-BR" sz="1050" b="0" i="1">
                      <a:latin typeface="Cambria Math" panose="02040503050406030204" pitchFamily="18" charset="0"/>
                    </a:rPr>
                    <m:t>∗100</m:t>
                  </m:r>
                </m:oMath>
              </a14:m>
              <a:endParaRPr lang="pt-BR" sz="1050">
                <a:latin typeface="+mn-lt"/>
              </a:endParaRPr>
            </a:p>
          </xdr:txBody>
        </xdr:sp>
      </mc:Choice>
      <mc:Fallback xmlns="">
        <xdr:sp macro="" textlink="">
          <xdr:nvSpPr>
            <xdr:cNvPr id="2" name="CaixaDeTexto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4953950" y="3880485"/>
              <a:ext cx="2414589" cy="35645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pt-BR" sz="1050">
                  <a:latin typeface="+mn-lt"/>
                </a:rPr>
                <a:t>BDI</a:t>
              </a:r>
              <a:r>
                <a:rPr lang="pt-BR" sz="1050" baseline="0">
                  <a:latin typeface="+mn-lt"/>
                </a:rPr>
                <a:t> = </a:t>
              </a:r>
              <a:r>
                <a:rPr lang="pt-BR" sz="1050" i="0">
                  <a:latin typeface="Cambria Math" panose="02040503050406030204" pitchFamily="18" charset="0"/>
                </a:rPr>
                <a:t>{[(</a:t>
              </a:r>
              <a:r>
                <a:rPr lang="pt-BR" sz="1050" b="0" i="0">
                  <a:latin typeface="Cambria Math" panose="02040503050406030204" pitchFamily="18" charset="0"/>
                </a:rPr>
                <a:t>(1+𝐴𝐶+𝐺+𝑅)∗(1+𝐷𝐹)∗(1+𝐿))/(1−𝐼)]−1}∗100</a:t>
              </a:r>
              <a:endParaRPr lang="pt-BR" sz="1050">
                <a:latin typeface="+mn-lt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o Office">
  <a:themeElements>
    <a:clrScheme name="Vermelho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6">
    <outlinePr summaryBelow="0"/>
  </sheetPr>
  <dimension ref="B2:W97"/>
  <sheetViews>
    <sheetView showGridLines="0" tabSelected="1" view="pageBreakPreview" zoomScaleNormal="85" zoomScaleSheetLayoutView="100" workbookViewId="0">
      <selection activeCell="E101" sqref="E101"/>
    </sheetView>
  </sheetViews>
  <sheetFormatPr defaultColWidth="9.140625" defaultRowHeight="12.75" outlineLevelRow="3" x14ac:dyDescent="0.25"/>
  <cols>
    <col min="1" max="1" width="1.7109375" style="79" customWidth="1"/>
    <col min="2" max="2" width="8.7109375" style="79" customWidth="1"/>
    <col min="3" max="3" width="10.5703125" style="82" customWidth="1"/>
    <col min="4" max="4" width="10.85546875" style="82" customWidth="1"/>
    <col min="5" max="5" width="84.85546875" style="83" customWidth="1"/>
    <col min="6" max="6" width="11" style="84" bestFit="1" customWidth="1"/>
    <col min="7" max="7" width="12.85546875" style="84" bestFit="1" customWidth="1"/>
    <col min="8" max="8" width="14" style="85" customWidth="1"/>
    <col min="9" max="9" width="14.42578125" style="85" bestFit="1" customWidth="1"/>
    <col min="10" max="10" width="16" style="85" bestFit="1" customWidth="1"/>
    <col min="11" max="11" width="2.42578125" style="79" customWidth="1"/>
    <col min="12" max="12" width="9.140625" style="79"/>
    <col min="13" max="13" width="14.28515625" style="79" bestFit="1" customWidth="1"/>
    <col min="14" max="14" width="9.28515625" style="80" customWidth="1"/>
    <col min="15" max="15" width="9.7109375" style="79" bestFit="1" customWidth="1"/>
    <col min="16" max="16" width="59" style="79" bestFit="1" customWidth="1"/>
    <col min="17" max="20" width="9.140625" style="79"/>
    <col min="21" max="21" width="59.140625" style="79" bestFit="1" customWidth="1"/>
    <col min="22" max="16384" width="9.140625" style="79"/>
  </cols>
  <sheetData>
    <row r="2" spans="2:23" x14ac:dyDescent="0.25">
      <c r="B2" s="193" t="s">
        <v>59</v>
      </c>
      <c r="C2" s="194"/>
      <c r="D2" s="194"/>
      <c r="E2" s="194"/>
      <c r="F2" s="194"/>
      <c r="G2" s="194"/>
      <c r="H2" s="194"/>
      <c r="I2" s="194"/>
      <c r="J2" s="195"/>
    </row>
    <row r="4" spans="2:23" x14ac:dyDescent="0.25">
      <c r="B4" s="81" t="s">
        <v>262</v>
      </c>
      <c r="I4" s="86" t="s">
        <v>60</v>
      </c>
      <c r="J4" s="87">
        <f>BDI!D25</f>
        <v>0.22500000000000001</v>
      </c>
    </row>
    <row r="5" spans="2:23" x14ac:dyDescent="0.25">
      <c r="B5" s="81" t="s">
        <v>263</v>
      </c>
      <c r="I5" s="86" t="s">
        <v>61</v>
      </c>
      <c r="J5" s="88" t="s">
        <v>264</v>
      </c>
    </row>
    <row r="6" spans="2:23" x14ac:dyDescent="0.25">
      <c r="I6" s="89"/>
      <c r="J6" s="89"/>
      <c r="O6" s="187" t="s">
        <v>62</v>
      </c>
      <c r="P6" s="136" t="s">
        <v>274</v>
      </c>
      <c r="Q6" s="136">
        <f>DMT!D14</f>
        <v>2</v>
      </c>
      <c r="R6" s="136" t="s">
        <v>3</v>
      </c>
      <c r="S6" s="122"/>
      <c r="T6" s="187" t="s">
        <v>63</v>
      </c>
      <c r="U6" s="136" t="s">
        <v>276</v>
      </c>
      <c r="V6" s="136">
        <f>DMT!D10</f>
        <v>2</v>
      </c>
      <c r="W6" s="136" t="s">
        <v>3</v>
      </c>
    </row>
    <row r="7" spans="2:23" s="93" customFormat="1" ht="25.5" x14ac:dyDescent="0.25">
      <c r="B7" s="90" t="s">
        <v>64</v>
      </c>
      <c r="C7" s="90" t="s">
        <v>65</v>
      </c>
      <c r="D7" s="90" t="s">
        <v>66</v>
      </c>
      <c r="E7" s="90" t="s">
        <v>67</v>
      </c>
      <c r="F7" s="91" t="s">
        <v>68</v>
      </c>
      <c r="G7" s="91" t="s">
        <v>69</v>
      </c>
      <c r="H7" s="92" t="s">
        <v>70</v>
      </c>
      <c r="I7" s="186" t="s">
        <v>71</v>
      </c>
      <c r="J7" s="92" t="s">
        <v>72</v>
      </c>
      <c r="L7" s="94"/>
      <c r="N7" s="95"/>
      <c r="O7" s="187"/>
      <c r="P7" s="136" t="s">
        <v>275</v>
      </c>
      <c r="Q7" s="136">
        <f>DMT!D13</f>
        <v>240</v>
      </c>
      <c r="R7" s="136" t="s">
        <v>3</v>
      </c>
      <c r="S7" s="137"/>
      <c r="T7" s="187"/>
      <c r="U7" s="136" t="s">
        <v>275</v>
      </c>
      <c r="V7" s="136">
        <f>DMT!D9</f>
        <v>67</v>
      </c>
      <c r="W7" s="136" t="s">
        <v>3</v>
      </c>
    </row>
    <row r="8" spans="2:23" s="93" customFormat="1" ht="13.15" customHeight="1" x14ac:dyDescent="0.25">
      <c r="B8" s="96"/>
      <c r="C8" s="190" t="s">
        <v>261</v>
      </c>
      <c r="D8" s="191"/>
      <c r="E8" s="191"/>
      <c r="F8" s="191"/>
      <c r="G8" s="191"/>
      <c r="H8" s="191"/>
      <c r="I8" s="192"/>
      <c r="J8" s="97">
        <f>J9+J12+J17+J34+J56+J89</f>
        <v>0</v>
      </c>
      <c r="L8" s="94"/>
      <c r="M8" s="124"/>
      <c r="N8" s="124"/>
      <c r="O8" s="125"/>
      <c r="P8" s="126"/>
      <c r="Q8" s="126"/>
      <c r="R8" s="126"/>
    </row>
    <row r="9" spans="2:23" s="104" customFormat="1" outlineLevel="1" x14ac:dyDescent="0.25">
      <c r="B9" s="98">
        <v>1</v>
      </c>
      <c r="C9" s="99"/>
      <c r="D9" s="99"/>
      <c r="E9" s="98" t="s">
        <v>73</v>
      </c>
      <c r="F9" s="100"/>
      <c r="G9" s="100"/>
      <c r="H9" s="101"/>
      <c r="I9" s="102"/>
      <c r="J9" s="103">
        <f>SUM(J10:J11)</f>
        <v>0</v>
      </c>
      <c r="M9" s="104" t="e">
        <f>J9/J8*100</f>
        <v>#DIV/0!</v>
      </c>
      <c r="N9" s="105"/>
      <c r="O9" s="188"/>
      <c r="P9" s="126"/>
      <c r="Q9" s="126"/>
      <c r="R9" s="126"/>
    </row>
    <row r="10" spans="2:23" outlineLevel="2" x14ac:dyDescent="0.25">
      <c r="B10" s="171" t="s">
        <v>74</v>
      </c>
      <c r="C10" s="172" t="s">
        <v>75</v>
      </c>
      <c r="D10" s="173" t="s">
        <v>76</v>
      </c>
      <c r="E10" s="174" t="s">
        <v>177</v>
      </c>
      <c r="F10" s="175" t="s">
        <v>178</v>
      </c>
      <c r="G10" s="175">
        <v>0.2</v>
      </c>
      <c r="H10" s="176"/>
      <c r="I10" s="177">
        <f t="shared" ref="I10:I11" si="0">ROUND(H10*(1+$J$4),2)</f>
        <v>0</v>
      </c>
      <c r="J10" s="178">
        <f t="shared" ref="J10:J11" si="1">ROUND(I10*G10,2)</f>
        <v>0</v>
      </c>
      <c r="L10" s="106"/>
      <c r="M10" s="80"/>
      <c r="O10" s="188"/>
      <c r="P10" s="126"/>
      <c r="Q10" s="126"/>
      <c r="R10" s="126"/>
    </row>
    <row r="11" spans="2:23" s="107" customFormat="1" outlineLevel="2" x14ac:dyDescent="0.25">
      <c r="B11" s="171" t="s">
        <v>77</v>
      </c>
      <c r="C11" s="172" t="s">
        <v>78</v>
      </c>
      <c r="D11" s="173" t="s">
        <v>76</v>
      </c>
      <c r="E11" s="174" t="s">
        <v>179</v>
      </c>
      <c r="F11" s="175" t="s">
        <v>178</v>
      </c>
      <c r="G11" s="175">
        <v>0.6</v>
      </c>
      <c r="H11" s="176"/>
      <c r="I11" s="177">
        <f t="shared" si="0"/>
        <v>0</v>
      </c>
      <c r="J11" s="178">
        <f t="shared" si="1"/>
        <v>0</v>
      </c>
      <c r="N11" s="108"/>
    </row>
    <row r="12" spans="2:23" s="104" customFormat="1" outlineLevel="1" x14ac:dyDescent="0.25">
      <c r="B12" s="98">
        <v>2</v>
      </c>
      <c r="C12" s="99"/>
      <c r="D12" s="99"/>
      <c r="E12" s="98" t="s">
        <v>79</v>
      </c>
      <c r="F12" s="100"/>
      <c r="G12" s="100"/>
      <c r="H12" s="101"/>
      <c r="I12" s="102"/>
      <c r="J12" s="103">
        <f>SUM(J13:J16)</f>
        <v>0</v>
      </c>
      <c r="N12" s="105"/>
    </row>
    <row r="13" spans="2:23" s="107" customFormat="1" outlineLevel="2" x14ac:dyDescent="0.25">
      <c r="B13" s="179" t="s">
        <v>80</v>
      </c>
      <c r="C13" s="180">
        <v>5213570</v>
      </c>
      <c r="D13" s="173" t="s">
        <v>76</v>
      </c>
      <c r="E13" s="174" t="s">
        <v>180</v>
      </c>
      <c r="F13" s="181" t="s">
        <v>94</v>
      </c>
      <c r="G13" s="175">
        <v>2.5</v>
      </c>
      <c r="H13" s="176"/>
      <c r="I13" s="177">
        <f t="shared" ref="I13:I16" si="2">ROUND(H13*(1+$J$4),2)</f>
        <v>0</v>
      </c>
      <c r="J13" s="178">
        <f t="shared" ref="J13:J16" si="3">ROUND(I13*G13,2)</f>
        <v>0</v>
      </c>
      <c r="N13" s="108"/>
    </row>
    <row r="14" spans="2:23" s="107" customFormat="1" ht="25.5" outlineLevel="2" x14ac:dyDescent="0.25">
      <c r="B14" s="179" t="s">
        <v>81</v>
      </c>
      <c r="C14" s="180">
        <v>5216111</v>
      </c>
      <c r="D14" s="173" t="s">
        <v>76</v>
      </c>
      <c r="E14" s="174" t="s">
        <v>181</v>
      </c>
      <c r="F14" s="181" t="s">
        <v>209</v>
      </c>
      <c r="G14" s="175">
        <v>2</v>
      </c>
      <c r="H14" s="176"/>
      <c r="I14" s="177">
        <f t="shared" si="2"/>
        <v>0</v>
      </c>
      <c r="J14" s="178">
        <f t="shared" si="3"/>
        <v>0</v>
      </c>
      <c r="N14" s="108"/>
    </row>
    <row r="15" spans="2:23" s="107" customFormat="1" ht="25.5" outlineLevel="2" x14ac:dyDescent="0.25">
      <c r="B15" s="179" t="s">
        <v>82</v>
      </c>
      <c r="C15" s="180">
        <v>99059</v>
      </c>
      <c r="D15" s="173" t="s">
        <v>83</v>
      </c>
      <c r="E15" s="174" t="s">
        <v>182</v>
      </c>
      <c r="F15" s="182" t="s">
        <v>210</v>
      </c>
      <c r="G15" s="175">
        <f>(11.3+1+1)*2+(6+1+1)*2</f>
        <v>42.6</v>
      </c>
      <c r="H15" s="176"/>
      <c r="I15" s="177">
        <f t="shared" si="2"/>
        <v>0</v>
      </c>
      <c r="J15" s="178">
        <f t="shared" si="3"/>
        <v>0</v>
      </c>
      <c r="N15" s="108"/>
    </row>
    <row r="16" spans="2:23" ht="25.5" outlineLevel="2" x14ac:dyDescent="0.25">
      <c r="B16" s="179" t="s">
        <v>84</v>
      </c>
      <c r="C16" s="180">
        <v>93415</v>
      </c>
      <c r="D16" s="173" t="s">
        <v>83</v>
      </c>
      <c r="E16" s="174" t="s">
        <v>183</v>
      </c>
      <c r="F16" s="182" t="s">
        <v>211</v>
      </c>
      <c r="G16" s="175">
        <f>4*22*2</f>
        <v>176</v>
      </c>
      <c r="H16" s="176"/>
      <c r="I16" s="177">
        <f t="shared" si="2"/>
        <v>0</v>
      </c>
      <c r="J16" s="178">
        <f t="shared" si="3"/>
        <v>0</v>
      </c>
    </row>
    <row r="17" spans="2:14" s="104" customFormat="1" outlineLevel="1" x14ac:dyDescent="0.25">
      <c r="B17" s="98">
        <v>3</v>
      </c>
      <c r="C17" s="99"/>
      <c r="D17" s="99"/>
      <c r="E17" s="98" t="s">
        <v>85</v>
      </c>
      <c r="F17" s="100"/>
      <c r="G17" s="100"/>
      <c r="H17" s="101"/>
      <c r="I17" s="102"/>
      <c r="J17" s="103">
        <f>J18</f>
        <v>0</v>
      </c>
      <c r="N17" s="105"/>
    </row>
    <row r="18" spans="2:14" s="104" customFormat="1" outlineLevel="2" x14ac:dyDescent="0.25">
      <c r="B18" s="127" t="s">
        <v>86</v>
      </c>
      <c r="C18" s="110"/>
      <c r="D18" s="110"/>
      <c r="E18" s="111" t="s">
        <v>87</v>
      </c>
      <c r="F18" s="112"/>
      <c r="G18" s="112"/>
      <c r="H18" s="113"/>
      <c r="I18" s="114"/>
      <c r="J18" s="115">
        <f>SUM(J19:J33)</f>
        <v>0</v>
      </c>
      <c r="N18" s="105"/>
    </row>
    <row r="19" spans="2:14" outlineLevel="3" x14ac:dyDescent="0.25">
      <c r="B19" s="171" t="s">
        <v>88</v>
      </c>
      <c r="C19" s="172">
        <v>4805757</v>
      </c>
      <c r="D19" s="173" t="s">
        <v>76</v>
      </c>
      <c r="E19" s="174" t="s">
        <v>184</v>
      </c>
      <c r="F19" s="181" t="s">
        <v>116</v>
      </c>
      <c r="G19" s="181">
        <f>QUANTIDADES!K16</f>
        <v>46.96</v>
      </c>
      <c r="H19" s="176"/>
      <c r="I19" s="177">
        <f t="shared" ref="I19:I33" si="4">ROUND(H19*(1+$J$4),2)</f>
        <v>0</v>
      </c>
      <c r="J19" s="178">
        <f t="shared" ref="J19:J33" si="5">ROUND(I19*G19,2)</f>
        <v>0</v>
      </c>
    </row>
    <row r="20" spans="2:14" outlineLevel="3" x14ac:dyDescent="0.25">
      <c r="B20" s="171" t="s">
        <v>89</v>
      </c>
      <c r="C20" s="172">
        <v>5502978</v>
      </c>
      <c r="D20" s="173" t="s">
        <v>76</v>
      </c>
      <c r="E20" s="174" t="s">
        <v>185</v>
      </c>
      <c r="F20" s="181" t="s">
        <v>116</v>
      </c>
      <c r="G20" s="181">
        <f>G19-G27</f>
        <v>17.71</v>
      </c>
      <c r="H20" s="176"/>
      <c r="I20" s="177">
        <f t="shared" si="4"/>
        <v>0</v>
      </c>
      <c r="J20" s="178">
        <f t="shared" si="5"/>
        <v>0</v>
      </c>
    </row>
    <row r="21" spans="2:14" ht="38.25" outlineLevel="3" x14ac:dyDescent="0.25">
      <c r="B21" s="171" t="s">
        <v>90</v>
      </c>
      <c r="C21" s="172">
        <v>7047</v>
      </c>
      <c r="D21" s="173" t="s">
        <v>83</v>
      </c>
      <c r="E21" s="174" t="s">
        <v>186</v>
      </c>
      <c r="F21" s="182" t="s">
        <v>174</v>
      </c>
      <c r="G21" s="181">
        <v>120</v>
      </c>
      <c r="H21" s="176"/>
      <c r="I21" s="177">
        <f t="shared" si="4"/>
        <v>0</v>
      </c>
      <c r="J21" s="178">
        <f t="shared" si="5"/>
        <v>0</v>
      </c>
    </row>
    <row r="22" spans="2:14" ht="25.5" outlineLevel="3" x14ac:dyDescent="0.25">
      <c r="B22" s="171" t="s">
        <v>91</v>
      </c>
      <c r="C22" s="172">
        <v>88263</v>
      </c>
      <c r="D22" s="173" t="s">
        <v>83</v>
      </c>
      <c r="E22" s="174" t="s">
        <v>187</v>
      </c>
      <c r="F22" s="182" t="s">
        <v>174</v>
      </c>
      <c r="G22" s="181">
        <v>90</v>
      </c>
      <c r="H22" s="176"/>
      <c r="I22" s="177">
        <f t="shared" si="4"/>
        <v>0</v>
      </c>
      <c r="J22" s="178">
        <f t="shared" si="5"/>
        <v>0</v>
      </c>
    </row>
    <row r="23" spans="2:14" ht="25.5" outlineLevel="3" x14ac:dyDescent="0.25">
      <c r="B23" s="171" t="s">
        <v>92</v>
      </c>
      <c r="C23" s="172">
        <v>95702</v>
      </c>
      <c r="D23" s="173" t="s">
        <v>83</v>
      </c>
      <c r="E23" s="174" t="s">
        <v>188</v>
      </c>
      <c r="F23" s="182" t="s">
        <v>211</v>
      </c>
      <c r="G23" s="181">
        <v>90</v>
      </c>
      <c r="H23" s="176"/>
      <c r="I23" s="177">
        <f t="shared" si="4"/>
        <v>0</v>
      </c>
      <c r="J23" s="178">
        <f t="shared" si="5"/>
        <v>0</v>
      </c>
    </row>
    <row r="24" spans="2:14" s="107" customFormat="1" outlineLevel="3" x14ac:dyDescent="0.25">
      <c r="B24" s="171" t="s">
        <v>93</v>
      </c>
      <c r="C24" s="180" t="s">
        <v>33</v>
      </c>
      <c r="D24" s="173" t="s">
        <v>83</v>
      </c>
      <c r="E24" s="174" t="s">
        <v>257</v>
      </c>
      <c r="F24" s="175" t="s">
        <v>94</v>
      </c>
      <c r="G24" s="175">
        <v>46.8</v>
      </c>
      <c r="H24" s="178">
        <f>'COMP ENSECADEIRA'!$G$17</f>
        <v>0</v>
      </c>
      <c r="I24" s="177">
        <f t="shared" si="4"/>
        <v>0</v>
      </c>
      <c r="J24" s="178">
        <f t="shared" si="5"/>
        <v>0</v>
      </c>
      <c r="M24" s="116"/>
      <c r="N24" s="117"/>
    </row>
    <row r="25" spans="2:14" ht="25.5" outlineLevel="3" x14ac:dyDescent="0.25">
      <c r="B25" s="171" t="s">
        <v>95</v>
      </c>
      <c r="C25" s="172">
        <v>3108017</v>
      </c>
      <c r="D25" s="173" t="s">
        <v>76</v>
      </c>
      <c r="E25" s="174" t="s">
        <v>260</v>
      </c>
      <c r="F25" s="181" t="s">
        <v>94</v>
      </c>
      <c r="G25" s="181">
        <f>QUANTIDADES!G16</f>
        <v>25.8</v>
      </c>
      <c r="H25" s="176"/>
      <c r="I25" s="177">
        <f t="shared" si="4"/>
        <v>0</v>
      </c>
      <c r="J25" s="178">
        <f t="shared" si="5"/>
        <v>0</v>
      </c>
    </row>
    <row r="26" spans="2:14" outlineLevel="3" x14ac:dyDescent="0.25">
      <c r="B26" s="171" t="s">
        <v>96</v>
      </c>
      <c r="C26" s="183">
        <v>407819</v>
      </c>
      <c r="D26" s="173" t="s">
        <v>76</v>
      </c>
      <c r="E26" s="174" t="s">
        <v>189</v>
      </c>
      <c r="F26" s="181" t="s">
        <v>212</v>
      </c>
      <c r="G26" s="181">
        <f>QUANTIDADES!I16</f>
        <v>1194</v>
      </c>
      <c r="H26" s="176"/>
      <c r="I26" s="177">
        <f t="shared" si="4"/>
        <v>0</v>
      </c>
      <c r="J26" s="178">
        <f t="shared" si="5"/>
        <v>0</v>
      </c>
    </row>
    <row r="27" spans="2:14" ht="25.5" outlineLevel="3" x14ac:dyDescent="0.25">
      <c r="B27" s="171" t="s">
        <v>97</v>
      </c>
      <c r="C27" s="172">
        <v>1106380</v>
      </c>
      <c r="D27" s="173" t="s">
        <v>76</v>
      </c>
      <c r="E27" s="174" t="s">
        <v>190</v>
      </c>
      <c r="F27" s="181" t="s">
        <v>116</v>
      </c>
      <c r="G27" s="181">
        <f>QUANTIDADES!H16</f>
        <v>29.25</v>
      </c>
      <c r="H27" s="176"/>
      <c r="I27" s="177">
        <f t="shared" si="4"/>
        <v>0</v>
      </c>
      <c r="J27" s="178">
        <f t="shared" si="5"/>
        <v>0</v>
      </c>
    </row>
    <row r="28" spans="2:14" outlineLevel="3" x14ac:dyDescent="0.25">
      <c r="B28" s="171" t="s">
        <v>98</v>
      </c>
      <c r="C28" s="172">
        <v>1106057</v>
      </c>
      <c r="D28" s="173" t="s">
        <v>76</v>
      </c>
      <c r="E28" s="174" t="s">
        <v>191</v>
      </c>
      <c r="F28" s="181" t="s">
        <v>116</v>
      </c>
      <c r="G28" s="181">
        <f>QUANTIDADES!J16</f>
        <v>2.44</v>
      </c>
      <c r="H28" s="176"/>
      <c r="I28" s="177">
        <f t="shared" si="4"/>
        <v>0</v>
      </c>
      <c r="J28" s="178">
        <f t="shared" si="5"/>
        <v>0</v>
      </c>
    </row>
    <row r="29" spans="2:14" ht="25.5" outlineLevel="3" x14ac:dyDescent="0.25">
      <c r="B29" s="171" t="s">
        <v>99</v>
      </c>
      <c r="C29" s="172">
        <v>1106088</v>
      </c>
      <c r="D29" s="173" t="s">
        <v>76</v>
      </c>
      <c r="E29" s="174" t="s">
        <v>192</v>
      </c>
      <c r="F29" s="181" t="s">
        <v>116</v>
      </c>
      <c r="G29" s="181">
        <f>G27+G28</f>
        <v>31.69</v>
      </c>
      <c r="H29" s="176"/>
      <c r="I29" s="177">
        <f t="shared" si="4"/>
        <v>0</v>
      </c>
      <c r="J29" s="178">
        <f t="shared" si="5"/>
        <v>0</v>
      </c>
    </row>
    <row r="30" spans="2:14" outlineLevel="3" x14ac:dyDescent="0.25">
      <c r="B30" s="171" t="s">
        <v>100</v>
      </c>
      <c r="C30" s="172">
        <v>1100657</v>
      </c>
      <c r="D30" s="173" t="s">
        <v>76</v>
      </c>
      <c r="E30" s="174" t="s">
        <v>193</v>
      </c>
      <c r="F30" s="181" t="s">
        <v>116</v>
      </c>
      <c r="G30" s="181">
        <f>G27</f>
        <v>29.25</v>
      </c>
      <c r="H30" s="176"/>
      <c r="I30" s="177">
        <f t="shared" si="4"/>
        <v>0</v>
      </c>
      <c r="J30" s="178">
        <f t="shared" si="5"/>
        <v>0</v>
      </c>
    </row>
    <row r="31" spans="2:14" ht="25.5" outlineLevel="3" x14ac:dyDescent="0.25">
      <c r="B31" s="171" t="s">
        <v>101</v>
      </c>
      <c r="C31" s="172">
        <v>5909007</v>
      </c>
      <c r="D31" s="173" t="s">
        <v>76</v>
      </c>
      <c r="E31" s="174" t="s">
        <v>194</v>
      </c>
      <c r="F31" s="181" t="s">
        <v>213</v>
      </c>
      <c r="G31" s="181">
        <f>ROUND(G30*2.4,2)</f>
        <v>70.2</v>
      </c>
      <c r="H31" s="176"/>
      <c r="I31" s="177">
        <f t="shared" si="4"/>
        <v>0</v>
      </c>
      <c r="J31" s="178">
        <f t="shared" si="5"/>
        <v>0</v>
      </c>
    </row>
    <row r="32" spans="2:14" outlineLevel="3" x14ac:dyDescent="0.25">
      <c r="B32" s="171" t="s">
        <v>102</v>
      </c>
      <c r="C32" s="172">
        <v>5914539</v>
      </c>
      <c r="D32" s="173" t="s">
        <v>76</v>
      </c>
      <c r="E32" s="174" t="s">
        <v>195</v>
      </c>
      <c r="F32" s="181" t="s">
        <v>214</v>
      </c>
      <c r="G32" s="181">
        <f>ROUND(G31*$V$6,2)</f>
        <v>140.4</v>
      </c>
      <c r="H32" s="176"/>
      <c r="I32" s="177">
        <f t="shared" si="4"/>
        <v>0</v>
      </c>
      <c r="J32" s="178">
        <f t="shared" si="5"/>
        <v>0</v>
      </c>
    </row>
    <row r="33" spans="2:14" outlineLevel="3" x14ac:dyDescent="0.25">
      <c r="B33" s="171" t="s">
        <v>103</v>
      </c>
      <c r="C33" s="172">
        <v>5914569</v>
      </c>
      <c r="D33" s="173" t="s">
        <v>76</v>
      </c>
      <c r="E33" s="174" t="s">
        <v>196</v>
      </c>
      <c r="F33" s="181" t="s">
        <v>214</v>
      </c>
      <c r="G33" s="181">
        <f>ROUND(G31*$V$7,2)</f>
        <v>4703.3999999999996</v>
      </c>
      <c r="H33" s="176"/>
      <c r="I33" s="177">
        <f t="shared" si="4"/>
        <v>0</v>
      </c>
      <c r="J33" s="178">
        <f t="shared" si="5"/>
        <v>0</v>
      </c>
    </row>
    <row r="34" spans="2:14" s="104" customFormat="1" outlineLevel="1" x14ac:dyDescent="0.25">
      <c r="B34" s="98">
        <v>4</v>
      </c>
      <c r="C34" s="99"/>
      <c r="D34" s="99"/>
      <c r="E34" s="98" t="s">
        <v>104</v>
      </c>
      <c r="F34" s="100"/>
      <c r="G34" s="100"/>
      <c r="H34" s="101"/>
      <c r="I34" s="102"/>
      <c r="J34" s="103">
        <f>J35+J45</f>
        <v>0</v>
      </c>
      <c r="N34" s="105"/>
    </row>
    <row r="35" spans="2:14" s="104" customFormat="1" outlineLevel="2" x14ac:dyDescent="0.25">
      <c r="B35" s="109" t="s">
        <v>105</v>
      </c>
      <c r="C35" s="110"/>
      <c r="D35" s="110"/>
      <c r="E35" s="118" t="s">
        <v>106</v>
      </c>
      <c r="F35" s="112"/>
      <c r="G35" s="112"/>
      <c r="H35" s="113"/>
      <c r="I35" s="114"/>
      <c r="J35" s="115">
        <f>SUM(J36:J44)</f>
        <v>0</v>
      </c>
      <c r="N35" s="105"/>
    </row>
    <row r="36" spans="2:14" ht="25.5" outlineLevel="3" x14ac:dyDescent="0.25">
      <c r="B36" s="184" t="s">
        <v>107</v>
      </c>
      <c r="C36" s="172">
        <v>3108017</v>
      </c>
      <c r="D36" s="173" t="s">
        <v>76</v>
      </c>
      <c r="E36" s="174" t="s">
        <v>260</v>
      </c>
      <c r="F36" s="181" t="s">
        <v>94</v>
      </c>
      <c r="G36" s="181">
        <f>QUANTIDADES!G32</f>
        <v>117.3</v>
      </c>
      <c r="H36" s="176">
        <f>H25</f>
        <v>0</v>
      </c>
      <c r="I36" s="177">
        <f t="shared" ref="I36:I44" si="6">ROUND(H36*(1+$J$4),2)</f>
        <v>0</v>
      </c>
      <c r="J36" s="178">
        <f t="shared" ref="J36:J44" si="7">ROUND(I36*G36,2)</f>
        <v>0</v>
      </c>
    </row>
    <row r="37" spans="2:14" outlineLevel="3" x14ac:dyDescent="0.25">
      <c r="B37" s="184" t="s">
        <v>108</v>
      </c>
      <c r="C37" s="183">
        <v>407819</v>
      </c>
      <c r="D37" s="173" t="s">
        <v>76</v>
      </c>
      <c r="E37" s="174" t="s">
        <v>189</v>
      </c>
      <c r="F37" s="181" t="s">
        <v>212</v>
      </c>
      <c r="G37" s="181">
        <f>QUANTIDADES!I32</f>
        <v>835</v>
      </c>
      <c r="H37" s="176">
        <f t="shared" ref="H37:H38" si="8">H26</f>
        <v>0</v>
      </c>
      <c r="I37" s="177">
        <f t="shared" si="6"/>
        <v>0</v>
      </c>
      <c r="J37" s="178">
        <f t="shared" si="7"/>
        <v>0</v>
      </c>
    </row>
    <row r="38" spans="2:14" ht="25.5" outlineLevel="3" x14ac:dyDescent="0.25">
      <c r="B38" s="184" t="s">
        <v>109</v>
      </c>
      <c r="C38" s="172">
        <v>1106380</v>
      </c>
      <c r="D38" s="173" t="s">
        <v>76</v>
      </c>
      <c r="E38" s="174" t="s">
        <v>190</v>
      </c>
      <c r="F38" s="181" t="s">
        <v>116</v>
      </c>
      <c r="G38" s="181">
        <f>QUANTIDADES!H32</f>
        <v>14.02</v>
      </c>
      <c r="H38" s="176">
        <f t="shared" si="8"/>
        <v>0</v>
      </c>
      <c r="I38" s="177">
        <f t="shared" si="6"/>
        <v>0</v>
      </c>
      <c r="J38" s="178">
        <f t="shared" si="7"/>
        <v>0</v>
      </c>
    </row>
    <row r="39" spans="2:14" ht="25.5" outlineLevel="3" x14ac:dyDescent="0.25">
      <c r="B39" s="184" t="s">
        <v>110</v>
      </c>
      <c r="C39" s="172">
        <v>1106088</v>
      </c>
      <c r="D39" s="173" t="s">
        <v>76</v>
      </c>
      <c r="E39" s="174" t="s">
        <v>192</v>
      </c>
      <c r="F39" s="181" t="s">
        <v>116</v>
      </c>
      <c r="G39" s="181">
        <f>G38</f>
        <v>14.02</v>
      </c>
      <c r="H39" s="176">
        <f>H29</f>
        <v>0</v>
      </c>
      <c r="I39" s="177">
        <f t="shared" si="6"/>
        <v>0</v>
      </c>
      <c r="J39" s="178">
        <f t="shared" si="7"/>
        <v>0</v>
      </c>
    </row>
    <row r="40" spans="2:14" outlineLevel="3" x14ac:dyDescent="0.25">
      <c r="B40" s="184" t="s">
        <v>111</v>
      </c>
      <c r="C40" s="172">
        <v>1100657</v>
      </c>
      <c r="D40" s="173" t="s">
        <v>76</v>
      </c>
      <c r="E40" s="174" t="s">
        <v>193</v>
      </c>
      <c r="F40" s="181" t="s">
        <v>116</v>
      </c>
      <c r="G40" s="181">
        <f>G38</f>
        <v>14.02</v>
      </c>
      <c r="H40" s="176">
        <f t="shared" ref="H40:H43" si="9">H30</f>
        <v>0</v>
      </c>
      <c r="I40" s="177">
        <f t="shared" si="6"/>
        <v>0</v>
      </c>
      <c r="J40" s="178">
        <f t="shared" si="7"/>
        <v>0</v>
      </c>
    </row>
    <row r="41" spans="2:14" ht="25.5" outlineLevel="3" x14ac:dyDescent="0.25">
      <c r="B41" s="184" t="s">
        <v>112</v>
      </c>
      <c r="C41" s="172">
        <v>5909007</v>
      </c>
      <c r="D41" s="173" t="s">
        <v>76</v>
      </c>
      <c r="E41" s="174" t="s">
        <v>194</v>
      </c>
      <c r="F41" s="181" t="s">
        <v>213</v>
      </c>
      <c r="G41" s="181">
        <f>ROUND(G40*2.4,2)</f>
        <v>33.65</v>
      </c>
      <c r="H41" s="176">
        <f t="shared" si="9"/>
        <v>0</v>
      </c>
      <c r="I41" s="177">
        <f t="shared" si="6"/>
        <v>0</v>
      </c>
      <c r="J41" s="178">
        <f t="shared" si="7"/>
        <v>0</v>
      </c>
    </row>
    <row r="42" spans="2:14" outlineLevel="3" x14ac:dyDescent="0.25">
      <c r="B42" s="184" t="s">
        <v>113</v>
      </c>
      <c r="C42" s="172">
        <v>5914539</v>
      </c>
      <c r="D42" s="173" t="s">
        <v>76</v>
      </c>
      <c r="E42" s="174" t="s">
        <v>195</v>
      </c>
      <c r="F42" s="181" t="s">
        <v>214</v>
      </c>
      <c r="G42" s="181">
        <f>ROUND(G41*$V$6,2)</f>
        <v>67.3</v>
      </c>
      <c r="H42" s="176">
        <f t="shared" si="9"/>
        <v>0</v>
      </c>
      <c r="I42" s="177">
        <f t="shared" si="6"/>
        <v>0</v>
      </c>
      <c r="J42" s="178">
        <f t="shared" si="7"/>
        <v>0</v>
      </c>
    </row>
    <row r="43" spans="2:14" outlineLevel="3" x14ac:dyDescent="0.25">
      <c r="B43" s="184" t="s">
        <v>114</v>
      </c>
      <c r="C43" s="172">
        <v>5914569</v>
      </c>
      <c r="D43" s="173" t="s">
        <v>76</v>
      </c>
      <c r="E43" s="174" t="s">
        <v>196</v>
      </c>
      <c r="F43" s="181" t="s">
        <v>214</v>
      </c>
      <c r="G43" s="181">
        <f>ROUND(G41*$V$7,2)</f>
        <v>2254.5500000000002</v>
      </c>
      <c r="H43" s="176">
        <f t="shared" si="9"/>
        <v>0</v>
      </c>
      <c r="I43" s="177">
        <f t="shared" si="6"/>
        <v>0</v>
      </c>
      <c r="J43" s="178">
        <f t="shared" si="7"/>
        <v>0</v>
      </c>
    </row>
    <row r="44" spans="2:14" ht="25.5" outlineLevel="3" x14ac:dyDescent="0.25">
      <c r="B44" s="184" t="s">
        <v>115</v>
      </c>
      <c r="C44" s="180">
        <v>3816197</v>
      </c>
      <c r="D44" s="173" t="s">
        <v>76</v>
      </c>
      <c r="E44" s="174" t="s">
        <v>197</v>
      </c>
      <c r="F44" s="175" t="s">
        <v>116</v>
      </c>
      <c r="G44" s="175">
        <f>QUANTIDADES!J32</f>
        <v>61.56</v>
      </c>
      <c r="H44" s="178"/>
      <c r="I44" s="177">
        <f t="shared" si="6"/>
        <v>0</v>
      </c>
      <c r="J44" s="178">
        <f t="shared" si="7"/>
        <v>0</v>
      </c>
    </row>
    <row r="45" spans="2:14" s="104" customFormat="1" outlineLevel="2" x14ac:dyDescent="0.25">
      <c r="B45" s="109" t="s">
        <v>117</v>
      </c>
      <c r="C45" s="110"/>
      <c r="D45" s="110"/>
      <c r="E45" s="111" t="s">
        <v>118</v>
      </c>
      <c r="F45" s="112"/>
      <c r="G45" s="112"/>
      <c r="H45" s="113"/>
      <c r="I45" s="114"/>
      <c r="J45" s="115">
        <f>SUM(J46:J55)</f>
        <v>0</v>
      </c>
      <c r="N45" s="105"/>
    </row>
    <row r="46" spans="2:14" ht="25.5" outlineLevel="3" x14ac:dyDescent="0.25">
      <c r="B46" s="184" t="s">
        <v>119</v>
      </c>
      <c r="C46" s="172">
        <v>3108017</v>
      </c>
      <c r="D46" s="173" t="s">
        <v>76</v>
      </c>
      <c r="E46" s="174" t="s">
        <v>260</v>
      </c>
      <c r="F46" s="181" t="s">
        <v>94</v>
      </c>
      <c r="G46" s="181">
        <f>QUANTIDADES!G25</f>
        <v>116.33</v>
      </c>
      <c r="H46" s="176">
        <f>H36</f>
        <v>0</v>
      </c>
      <c r="I46" s="177">
        <f t="shared" ref="I46:I55" si="10">ROUND(H46*(1+$J$4),2)</f>
        <v>0</v>
      </c>
      <c r="J46" s="178">
        <f t="shared" ref="J46:J55" si="11">ROUND(I46*G46,2)</f>
        <v>0</v>
      </c>
    </row>
    <row r="47" spans="2:14" outlineLevel="3" x14ac:dyDescent="0.25">
      <c r="B47" s="184" t="s">
        <v>120</v>
      </c>
      <c r="C47" s="183">
        <v>407819</v>
      </c>
      <c r="D47" s="173" t="s">
        <v>76</v>
      </c>
      <c r="E47" s="174" t="s">
        <v>189</v>
      </c>
      <c r="F47" s="181" t="s">
        <v>212</v>
      </c>
      <c r="G47" s="181">
        <f>QUANTIDADES!I25</f>
        <v>2458</v>
      </c>
      <c r="H47" s="176">
        <f t="shared" ref="H47:H54" si="12">H37</f>
        <v>0</v>
      </c>
      <c r="I47" s="177">
        <f t="shared" si="10"/>
        <v>0</v>
      </c>
      <c r="J47" s="178">
        <f t="shared" si="11"/>
        <v>0</v>
      </c>
    </row>
    <row r="48" spans="2:14" ht="25.5" outlineLevel="3" x14ac:dyDescent="0.25">
      <c r="B48" s="184" t="s">
        <v>121</v>
      </c>
      <c r="C48" s="172">
        <v>1106380</v>
      </c>
      <c r="D48" s="173" t="s">
        <v>76</v>
      </c>
      <c r="E48" s="174" t="s">
        <v>190</v>
      </c>
      <c r="F48" s="181" t="s">
        <v>116</v>
      </c>
      <c r="G48" s="181">
        <f>QUANTIDADES!H25</f>
        <v>19.239999999999998</v>
      </c>
      <c r="H48" s="176">
        <f t="shared" si="12"/>
        <v>0</v>
      </c>
      <c r="I48" s="177">
        <f t="shared" si="10"/>
        <v>0</v>
      </c>
      <c r="J48" s="178">
        <f t="shared" si="11"/>
        <v>0</v>
      </c>
    </row>
    <row r="49" spans="2:10" ht="25.5" outlineLevel="3" x14ac:dyDescent="0.25">
      <c r="B49" s="184" t="s">
        <v>122</v>
      </c>
      <c r="C49" s="172">
        <v>1106088</v>
      </c>
      <c r="D49" s="173" t="s">
        <v>76</v>
      </c>
      <c r="E49" s="174" t="s">
        <v>192</v>
      </c>
      <c r="F49" s="181" t="s">
        <v>116</v>
      </c>
      <c r="G49" s="181">
        <f>G48</f>
        <v>19.239999999999998</v>
      </c>
      <c r="H49" s="176">
        <f t="shared" si="12"/>
        <v>0</v>
      </c>
      <c r="I49" s="177">
        <f t="shared" si="10"/>
        <v>0</v>
      </c>
      <c r="J49" s="178">
        <f t="shared" si="11"/>
        <v>0</v>
      </c>
    </row>
    <row r="50" spans="2:10" outlineLevel="3" x14ac:dyDescent="0.25">
      <c r="B50" s="184" t="s">
        <v>123</v>
      </c>
      <c r="C50" s="172">
        <v>1100657</v>
      </c>
      <c r="D50" s="173" t="s">
        <v>76</v>
      </c>
      <c r="E50" s="174" t="s">
        <v>193</v>
      </c>
      <c r="F50" s="181" t="s">
        <v>116</v>
      </c>
      <c r="G50" s="181">
        <f>G48</f>
        <v>19.239999999999998</v>
      </c>
      <c r="H50" s="176">
        <f t="shared" si="12"/>
        <v>0</v>
      </c>
      <c r="I50" s="177">
        <f t="shared" si="10"/>
        <v>0</v>
      </c>
      <c r="J50" s="178">
        <f t="shared" si="11"/>
        <v>0</v>
      </c>
    </row>
    <row r="51" spans="2:10" ht="25.5" outlineLevel="3" x14ac:dyDescent="0.25">
      <c r="B51" s="184" t="s">
        <v>124</v>
      </c>
      <c r="C51" s="172">
        <v>5909007</v>
      </c>
      <c r="D51" s="173" t="s">
        <v>76</v>
      </c>
      <c r="E51" s="174" t="s">
        <v>194</v>
      </c>
      <c r="F51" s="181" t="s">
        <v>213</v>
      </c>
      <c r="G51" s="181">
        <f>ROUND(G50*2.4,2)</f>
        <v>46.18</v>
      </c>
      <c r="H51" s="176">
        <f t="shared" si="12"/>
        <v>0</v>
      </c>
      <c r="I51" s="177">
        <f t="shared" si="10"/>
        <v>0</v>
      </c>
      <c r="J51" s="178">
        <f t="shared" si="11"/>
        <v>0</v>
      </c>
    </row>
    <row r="52" spans="2:10" outlineLevel="3" x14ac:dyDescent="0.25">
      <c r="B52" s="184" t="s">
        <v>125</v>
      </c>
      <c r="C52" s="172">
        <v>5914539</v>
      </c>
      <c r="D52" s="173" t="s">
        <v>76</v>
      </c>
      <c r="E52" s="174" t="s">
        <v>195</v>
      </c>
      <c r="F52" s="181" t="s">
        <v>214</v>
      </c>
      <c r="G52" s="181">
        <f>ROUND(G51*$V$6,2)</f>
        <v>92.36</v>
      </c>
      <c r="H52" s="176">
        <f t="shared" si="12"/>
        <v>0</v>
      </c>
      <c r="I52" s="177">
        <f t="shared" si="10"/>
        <v>0</v>
      </c>
      <c r="J52" s="178">
        <f t="shared" si="11"/>
        <v>0</v>
      </c>
    </row>
    <row r="53" spans="2:10" outlineLevel="3" x14ac:dyDescent="0.25">
      <c r="B53" s="184" t="s">
        <v>126</v>
      </c>
      <c r="C53" s="172">
        <v>5914569</v>
      </c>
      <c r="D53" s="173" t="s">
        <v>76</v>
      </c>
      <c r="E53" s="174" t="s">
        <v>196</v>
      </c>
      <c r="F53" s="181" t="s">
        <v>214</v>
      </c>
      <c r="G53" s="181">
        <f>ROUND(G51*$V$7,2)</f>
        <v>3094.06</v>
      </c>
      <c r="H53" s="176">
        <f t="shared" si="12"/>
        <v>0</v>
      </c>
      <c r="I53" s="177">
        <f t="shared" si="10"/>
        <v>0</v>
      </c>
      <c r="J53" s="178">
        <f t="shared" si="11"/>
        <v>0</v>
      </c>
    </row>
    <row r="54" spans="2:10" ht="25.5" outlineLevel="3" x14ac:dyDescent="0.25">
      <c r="B54" s="184" t="s">
        <v>127</v>
      </c>
      <c r="C54" s="180">
        <v>3816197</v>
      </c>
      <c r="D54" s="173" t="s">
        <v>76</v>
      </c>
      <c r="E54" s="174" t="s">
        <v>197</v>
      </c>
      <c r="F54" s="175" t="s">
        <v>116</v>
      </c>
      <c r="G54" s="175">
        <f>QUANTIDADES!J25</f>
        <v>65.95</v>
      </c>
      <c r="H54" s="176">
        <f t="shared" si="12"/>
        <v>0</v>
      </c>
      <c r="I54" s="177">
        <f t="shared" si="10"/>
        <v>0</v>
      </c>
      <c r="J54" s="178">
        <f t="shared" si="11"/>
        <v>0</v>
      </c>
    </row>
    <row r="55" spans="2:10" outlineLevel="3" x14ac:dyDescent="0.25">
      <c r="B55" s="184" t="s">
        <v>258</v>
      </c>
      <c r="C55" s="180">
        <v>307732</v>
      </c>
      <c r="D55" s="173" t="s">
        <v>76</v>
      </c>
      <c r="E55" s="174" t="s">
        <v>259</v>
      </c>
      <c r="F55" s="175" t="s">
        <v>116</v>
      </c>
      <c r="G55" s="175">
        <v>27</v>
      </c>
      <c r="H55" s="178"/>
      <c r="I55" s="177">
        <f t="shared" si="10"/>
        <v>0</v>
      </c>
      <c r="J55" s="178">
        <f t="shared" si="11"/>
        <v>0</v>
      </c>
    </row>
    <row r="56" spans="2:10" outlineLevel="1" x14ac:dyDescent="0.25">
      <c r="B56" s="98">
        <v>5</v>
      </c>
      <c r="C56" s="99"/>
      <c r="D56" s="99"/>
      <c r="E56" s="98" t="s">
        <v>128</v>
      </c>
      <c r="F56" s="100"/>
      <c r="G56" s="100"/>
      <c r="H56" s="101"/>
      <c r="I56" s="102"/>
      <c r="J56" s="103">
        <f>J57+J80+J70</f>
        <v>0</v>
      </c>
    </row>
    <row r="57" spans="2:10" outlineLevel="2" x14ac:dyDescent="0.25">
      <c r="B57" s="109" t="s">
        <v>129</v>
      </c>
      <c r="C57" s="110"/>
      <c r="D57" s="110"/>
      <c r="E57" s="111" t="s">
        <v>167</v>
      </c>
      <c r="F57" s="119"/>
      <c r="G57" s="119"/>
      <c r="H57" s="120"/>
      <c r="I57" s="121"/>
      <c r="J57" s="115">
        <f>SUM(J58:J69)</f>
        <v>0</v>
      </c>
    </row>
    <row r="58" spans="2:10" ht="25.5" outlineLevel="3" x14ac:dyDescent="0.25">
      <c r="B58" s="184" t="s">
        <v>130</v>
      </c>
      <c r="C58" s="172">
        <v>3108017</v>
      </c>
      <c r="D58" s="173" t="s">
        <v>76</v>
      </c>
      <c r="E58" s="174" t="s">
        <v>260</v>
      </c>
      <c r="F58" s="175" t="s">
        <v>94</v>
      </c>
      <c r="G58" s="175">
        <f>QUANTIDADES!G43</f>
        <v>105.22</v>
      </c>
      <c r="H58" s="176">
        <f>H46</f>
        <v>0</v>
      </c>
      <c r="I58" s="177">
        <f t="shared" ref="I58:I69" si="13">ROUND(H58*(1+$J$4),2)</f>
        <v>0</v>
      </c>
      <c r="J58" s="178">
        <f t="shared" ref="J58:J69" si="14">ROUND(I58*G58,2)</f>
        <v>0</v>
      </c>
    </row>
    <row r="59" spans="2:10" outlineLevel="3" x14ac:dyDescent="0.25">
      <c r="B59" s="184" t="s">
        <v>131</v>
      </c>
      <c r="C59" s="183">
        <v>407819</v>
      </c>
      <c r="D59" s="173" t="s">
        <v>76</v>
      </c>
      <c r="E59" s="174" t="s">
        <v>189</v>
      </c>
      <c r="F59" s="181" t="s">
        <v>212</v>
      </c>
      <c r="G59" s="181">
        <f>QUANTIDADES!I43</f>
        <v>1742</v>
      </c>
      <c r="H59" s="176">
        <f>H47</f>
        <v>0</v>
      </c>
      <c r="I59" s="177">
        <f t="shared" si="13"/>
        <v>0</v>
      </c>
      <c r="J59" s="178">
        <f t="shared" si="14"/>
        <v>0</v>
      </c>
    </row>
    <row r="60" spans="2:10" outlineLevel="3" x14ac:dyDescent="0.25">
      <c r="B60" s="184" t="s">
        <v>132</v>
      </c>
      <c r="C60" s="183">
        <v>4507776</v>
      </c>
      <c r="D60" s="173" t="s">
        <v>76</v>
      </c>
      <c r="E60" s="174" t="s">
        <v>198</v>
      </c>
      <c r="F60" s="175" t="s">
        <v>209</v>
      </c>
      <c r="G60" s="175">
        <f>QUANTIDADES!C43</f>
        <v>39</v>
      </c>
      <c r="H60" s="176"/>
      <c r="I60" s="177">
        <f t="shared" si="13"/>
        <v>0</v>
      </c>
      <c r="J60" s="178">
        <f t="shared" si="14"/>
        <v>0</v>
      </c>
    </row>
    <row r="61" spans="2:10" outlineLevel="3" x14ac:dyDescent="0.25">
      <c r="B61" s="184" t="s">
        <v>133</v>
      </c>
      <c r="C61" s="172">
        <v>4507957</v>
      </c>
      <c r="D61" s="173" t="s">
        <v>76</v>
      </c>
      <c r="E61" s="174" t="s">
        <v>199</v>
      </c>
      <c r="F61" s="175" t="s">
        <v>212</v>
      </c>
      <c r="G61" s="175">
        <f>QUANTIDADES!J43</f>
        <v>483</v>
      </c>
      <c r="H61" s="176"/>
      <c r="I61" s="177">
        <f t="shared" si="13"/>
        <v>0</v>
      </c>
      <c r="J61" s="178">
        <f t="shared" si="14"/>
        <v>0</v>
      </c>
    </row>
    <row r="62" spans="2:10" ht="25.5" outlineLevel="3" x14ac:dyDescent="0.25">
      <c r="B62" s="184" t="s">
        <v>134</v>
      </c>
      <c r="C62" s="183">
        <v>1106282</v>
      </c>
      <c r="D62" s="173" t="s">
        <v>76</v>
      </c>
      <c r="E62" s="174" t="s">
        <v>200</v>
      </c>
      <c r="F62" s="175" t="s">
        <v>116</v>
      </c>
      <c r="G62" s="175">
        <f>QUANTIDADES!H43</f>
        <v>7</v>
      </c>
      <c r="H62" s="176"/>
      <c r="I62" s="177">
        <f t="shared" si="13"/>
        <v>0</v>
      </c>
      <c r="J62" s="178">
        <f t="shared" si="14"/>
        <v>0</v>
      </c>
    </row>
    <row r="63" spans="2:10" ht="25.5" outlineLevel="3" x14ac:dyDescent="0.25">
      <c r="B63" s="184" t="s">
        <v>135</v>
      </c>
      <c r="C63" s="172">
        <v>1106088</v>
      </c>
      <c r="D63" s="173" t="s">
        <v>76</v>
      </c>
      <c r="E63" s="174" t="s">
        <v>192</v>
      </c>
      <c r="F63" s="175" t="s">
        <v>116</v>
      </c>
      <c r="G63" s="175">
        <f>G62</f>
        <v>7</v>
      </c>
      <c r="H63" s="176">
        <f>H49</f>
        <v>0</v>
      </c>
      <c r="I63" s="177">
        <f t="shared" si="13"/>
        <v>0</v>
      </c>
      <c r="J63" s="178">
        <f t="shared" si="14"/>
        <v>0</v>
      </c>
    </row>
    <row r="64" spans="2:10" outlineLevel="3" x14ac:dyDescent="0.25">
      <c r="B64" s="184" t="s">
        <v>136</v>
      </c>
      <c r="C64" s="172">
        <v>1100657</v>
      </c>
      <c r="D64" s="173" t="s">
        <v>76</v>
      </c>
      <c r="E64" s="174" t="s">
        <v>193</v>
      </c>
      <c r="F64" s="181" t="s">
        <v>116</v>
      </c>
      <c r="G64" s="181">
        <f>G62</f>
        <v>7</v>
      </c>
      <c r="H64" s="176">
        <f t="shared" ref="H64:H65" si="15">H50</f>
        <v>0</v>
      </c>
      <c r="I64" s="177">
        <f t="shared" si="13"/>
        <v>0</v>
      </c>
      <c r="J64" s="178">
        <f t="shared" si="14"/>
        <v>0</v>
      </c>
    </row>
    <row r="65" spans="2:14" ht="25.5" outlineLevel="3" x14ac:dyDescent="0.25">
      <c r="B65" s="184" t="s">
        <v>137</v>
      </c>
      <c r="C65" s="172">
        <v>5909007</v>
      </c>
      <c r="D65" s="173" t="s">
        <v>76</v>
      </c>
      <c r="E65" s="174" t="s">
        <v>194</v>
      </c>
      <c r="F65" s="181" t="s">
        <v>213</v>
      </c>
      <c r="G65" s="181">
        <f>ROUND(G63*2.4,2)</f>
        <v>16.8</v>
      </c>
      <c r="H65" s="176">
        <f t="shared" si="15"/>
        <v>0</v>
      </c>
      <c r="I65" s="177">
        <f t="shared" si="13"/>
        <v>0</v>
      </c>
      <c r="J65" s="178">
        <f t="shared" si="14"/>
        <v>0</v>
      </c>
    </row>
    <row r="66" spans="2:14" ht="25.5" outlineLevel="3" x14ac:dyDescent="0.25">
      <c r="B66" s="184" t="s">
        <v>138</v>
      </c>
      <c r="C66" s="180">
        <v>5915400</v>
      </c>
      <c r="D66" s="173" t="s">
        <v>76</v>
      </c>
      <c r="E66" s="174" t="s">
        <v>201</v>
      </c>
      <c r="F66" s="175" t="s">
        <v>209</v>
      </c>
      <c r="G66" s="175">
        <f>QUANTIDADES!E42</f>
        <v>3</v>
      </c>
      <c r="H66" s="176"/>
      <c r="I66" s="177">
        <f t="shared" si="13"/>
        <v>0</v>
      </c>
      <c r="J66" s="178">
        <f t="shared" si="14"/>
        <v>0</v>
      </c>
    </row>
    <row r="67" spans="2:14" ht="25.5" outlineLevel="3" x14ac:dyDescent="0.25">
      <c r="B67" s="184" t="s">
        <v>139</v>
      </c>
      <c r="C67" s="173">
        <v>5915325</v>
      </c>
      <c r="D67" s="173" t="s">
        <v>76</v>
      </c>
      <c r="E67" s="174" t="s">
        <v>202</v>
      </c>
      <c r="F67" s="175" t="s">
        <v>3</v>
      </c>
      <c r="G67" s="175">
        <f>G69*$Q$6</f>
        <v>6</v>
      </c>
      <c r="H67" s="176"/>
      <c r="I67" s="177">
        <f t="shared" si="13"/>
        <v>0</v>
      </c>
      <c r="J67" s="178">
        <f t="shared" si="14"/>
        <v>0</v>
      </c>
      <c r="M67" s="128"/>
    </row>
    <row r="68" spans="2:14" ht="25.5" outlineLevel="3" x14ac:dyDescent="0.25">
      <c r="B68" s="184" t="s">
        <v>140</v>
      </c>
      <c r="C68" s="180">
        <v>5915327</v>
      </c>
      <c r="D68" s="173" t="s">
        <v>76</v>
      </c>
      <c r="E68" s="174" t="s">
        <v>203</v>
      </c>
      <c r="F68" s="175" t="s">
        <v>3</v>
      </c>
      <c r="G68" s="175">
        <f>G69*$Q$7</f>
        <v>720</v>
      </c>
      <c r="H68" s="176"/>
      <c r="I68" s="177">
        <f t="shared" si="13"/>
        <v>0</v>
      </c>
      <c r="J68" s="178">
        <f t="shared" si="14"/>
        <v>0</v>
      </c>
    </row>
    <row r="69" spans="2:14" outlineLevel="3" x14ac:dyDescent="0.25">
      <c r="B69" s="184" t="s">
        <v>141</v>
      </c>
      <c r="C69" s="172">
        <v>3806420</v>
      </c>
      <c r="D69" s="173" t="s">
        <v>76</v>
      </c>
      <c r="E69" s="174" t="s">
        <v>204</v>
      </c>
      <c r="F69" s="181" t="s">
        <v>209</v>
      </c>
      <c r="G69" s="175">
        <f>G66</f>
        <v>3</v>
      </c>
      <c r="H69" s="176"/>
      <c r="I69" s="177">
        <f t="shared" si="13"/>
        <v>0</v>
      </c>
      <c r="J69" s="178">
        <f t="shared" si="14"/>
        <v>0</v>
      </c>
      <c r="M69" s="128"/>
    </row>
    <row r="70" spans="2:14" outlineLevel="2" x14ac:dyDescent="0.25">
      <c r="B70" s="109" t="s">
        <v>142</v>
      </c>
      <c r="C70" s="110"/>
      <c r="D70" s="110"/>
      <c r="E70" s="111" t="s">
        <v>143</v>
      </c>
      <c r="F70" s="112"/>
      <c r="G70" s="112"/>
      <c r="H70" s="120"/>
      <c r="I70" s="121"/>
      <c r="J70" s="115">
        <f>SUM(J71:J79)</f>
        <v>0</v>
      </c>
    </row>
    <row r="71" spans="2:14" ht="25.5" outlineLevel="3" x14ac:dyDescent="0.25">
      <c r="B71" s="184" t="s">
        <v>144</v>
      </c>
      <c r="C71" s="172">
        <v>3108017</v>
      </c>
      <c r="D71" s="173" t="s">
        <v>76</v>
      </c>
      <c r="E71" s="174" t="s">
        <v>260</v>
      </c>
      <c r="F71" s="181" t="s">
        <v>94</v>
      </c>
      <c r="G71" s="181">
        <f>QUANTIDADES!G52</f>
        <v>87.71</v>
      </c>
      <c r="H71" s="176">
        <f>H58</f>
        <v>0</v>
      </c>
      <c r="I71" s="177">
        <f t="shared" ref="I71:I79" si="16">ROUND(H71*(1+$J$4),2)</f>
        <v>0</v>
      </c>
      <c r="J71" s="178">
        <f t="shared" ref="J71:J79" si="17">ROUND(I71*G71,2)</f>
        <v>0</v>
      </c>
    </row>
    <row r="72" spans="2:14" outlineLevel="3" x14ac:dyDescent="0.25">
      <c r="B72" s="184" t="s">
        <v>145</v>
      </c>
      <c r="C72" s="183">
        <v>407819</v>
      </c>
      <c r="D72" s="173" t="s">
        <v>76</v>
      </c>
      <c r="E72" s="174" t="s">
        <v>189</v>
      </c>
      <c r="F72" s="181" t="s">
        <v>212</v>
      </c>
      <c r="G72" s="181">
        <f>QUANTIDADES!I52</f>
        <v>584</v>
      </c>
      <c r="H72" s="176">
        <f>H59</f>
        <v>0</v>
      </c>
      <c r="I72" s="177">
        <f t="shared" si="16"/>
        <v>0</v>
      </c>
      <c r="J72" s="178">
        <f t="shared" si="17"/>
        <v>0</v>
      </c>
    </row>
    <row r="73" spans="2:14" ht="25.5" outlineLevel="3" x14ac:dyDescent="0.25">
      <c r="B73" s="184" t="s">
        <v>146</v>
      </c>
      <c r="C73" s="185">
        <v>1106280</v>
      </c>
      <c r="D73" s="173" t="s">
        <v>76</v>
      </c>
      <c r="E73" s="174" t="s">
        <v>205</v>
      </c>
      <c r="F73" s="175" t="s">
        <v>116</v>
      </c>
      <c r="G73" s="175">
        <f>QUANTIDADES!H52</f>
        <v>7.54</v>
      </c>
      <c r="H73" s="178"/>
      <c r="I73" s="177">
        <f t="shared" si="16"/>
        <v>0</v>
      </c>
      <c r="J73" s="178">
        <f t="shared" si="17"/>
        <v>0</v>
      </c>
    </row>
    <row r="74" spans="2:14" ht="25.5" outlineLevel="3" x14ac:dyDescent="0.25">
      <c r="B74" s="184" t="s">
        <v>147</v>
      </c>
      <c r="C74" s="180">
        <v>1106088</v>
      </c>
      <c r="D74" s="173" t="s">
        <v>76</v>
      </c>
      <c r="E74" s="174" t="s">
        <v>192</v>
      </c>
      <c r="F74" s="175" t="s">
        <v>116</v>
      </c>
      <c r="G74" s="175">
        <f>G73</f>
        <v>7.54</v>
      </c>
      <c r="H74" s="178">
        <f>H63</f>
        <v>0</v>
      </c>
      <c r="I74" s="177">
        <f t="shared" si="16"/>
        <v>0</v>
      </c>
      <c r="J74" s="178">
        <f t="shared" si="17"/>
        <v>0</v>
      </c>
    </row>
    <row r="75" spans="2:14" outlineLevel="3" x14ac:dyDescent="0.25">
      <c r="B75" s="184" t="s">
        <v>148</v>
      </c>
      <c r="C75" s="172">
        <v>1100657</v>
      </c>
      <c r="D75" s="173" t="s">
        <v>76</v>
      </c>
      <c r="E75" s="174" t="s">
        <v>193</v>
      </c>
      <c r="F75" s="181" t="s">
        <v>116</v>
      </c>
      <c r="G75" s="181">
        <f>G73</f>
        <v>7.54</v>
      </c>
      <c r="H75" s="178">
        <f t="shared" ref="H75:H76" si="18">H64</f>
        <v>0</v>
      </c>
      <c r="I75" s="177">
        <f t="shared" si="16"/>
        <v>0</v>
      </c>
      <c r="J75" s="178">
        <f t="shared" si="17"/>
        <v>0</v>
      </c>
    </row>
    <row r="76" spans="2:14" ht="25.5" outlineLevel="3" x14ac:dyDescent="0.25">
      <c r="B76" s="184" t="s">
        <v>149</v>
      </c>
      <c r="C76" s="172">
        <v>5909007</v>
      </c>
      <c r="D76" s="173" t="s">
        <v>76</v>
      </c>
      <c r="E76" s="174" t="s">
        <v>194</v>
      </c>
      <c r="F76" s="181" t="s">
        <v>213</v>
      </c>
      <c r="G76" s="181">
        <f>ROUND(G75*2.4,2)</f>
        <v>18.100000000000001</v>
      </c>
      <c r="H76" s="178">
        <f t="shared" si="18"/>
        <v>0</v>
      </c>
      <c r="I76" s="177">
        <f t="shared" si="16"/>
        <v>0</v>
      </c>
      <c r="J76" s="178">
        <f t="shared" si="17"/>
        <v>0</v>
      </c>
    </row>
    <row r="77" spans="2:14" outlineLevel="3" x14ac:dyDescent="0.25">
      <c r="B77" s="184" t="s">
        <v>150</v>
      </c>
      <c r="C77" s="172">
        <v>5914539</v>
      </c>
      <c r="D77" s="173" t="s">
        <v>76</v>
      </c>
      <c r="E77" s="174" t="s">
        <v>195</v>
      </c>
      <c r="F77" s="175" t="s">
        <v>214</v>
      </c>
      <c r="G77" s="175">
        <f>ROUND(G76*$V$6,2)</f>
        <v>36.200000000000003</v>
      </c>
      <c r="H77" s="176">
        <f>H52</f>
        <v>0</v>
      </c>
      <c r="I77" s="177">
        <f t="shared" si="16"/>
        <v>0</v>
      </c>
      <c r="J77" s="178">
        <f t="shared" si="17"/>
        <v>0</v>
      </c>
    </row>
    <row r="78" spans="2:14" outlineLevel="3" x14ac:dyDescent="0.25">
      <c r="B78" s="184" t="s">
        <v>151</v>
      </c>
      <c r="C78" s="180">
        <v>5914569</v>
      </c>
      <c r="D78" s="173" t="s">
        <v>76</v>
      </c>
      <c r="E78" s="174" t="s">
        <v>196</v>
      </c>
      <c r="F78" s="175" t="s">
        <v>214</v>
      </c>
      <c r="G78" s="175">
        <f>ROUND(G76*$V$7,2)</f>
        <v>1212.7</v>
      </c>
      <c r="H78" s="176">
        <f>H53</f>
        <v>0</v>
      </c>
      <c r="I78" s="177">
        <f t="shared" si="16"/>
        <v>0</v>
      </c>
      <c r="J78" s="178">
        <f t="shared" si="17"/>
        <v>0</v>
      </c>
    </row>
    <row r="79" spans="2:14" outlineLevel="3" x14ac:dyDescent="0.25">
      <c r="B79" s="184" t="s">
        <v>152</v>
      </c>
      <c r="C79" s="180">
        <v>3806426</v>
      </c>
      <c r="D79" s="173" t="s">
        <v>76</v>
      </c>
      <c r="E79" s="174" t="s">
        <v>206</v>
      </c>
      <c r="F79" s="175" t="s">
        <v>213</v>
      </c>
      <c r="G79" s="175">
        <f>QUANTIDADES!J52</f>
        <v>18.850000000000001</v>
      </c>
      <c r="H79" s="178"/>
      <c r="I79" s="177">
        <f t="shared" si="16"/>
        <v>0</v>
      </c>
      <c r="J79" s="178">
        <f t="shared" si="17"/>
        <v>0</v>
      </c>
    </row>
    <row r="80" spans="2:14" s="104" customFormat="1" outlineLevel="2" x14ac:dyDescent="0.25">
      <c r="B80" s="109" t="s">
        <v>153</v>
      </c>
      <c r="C80" s="110"/>
      <c r="D80" s="110"/>
      <c r="E80" s="111" t="s">
        <v>154</v>
      </c>
      <c r="F80" s="112"/>
      <c r="G80" s="112"/>
      <c r="H80" s="120"/>
      <c r="I80" s="121"/>
      <c r="J80" s="115">
        <f>SUM(J81:J88)</f>
        <v>0</v>
      </c>
      <c r="N80" s="105"/>
    </row>
    <row r="81" spans="2:13" ht="25.5" outlineLevel="3" x14ac:dyDescent="0.25">
      <c r="B81" s="184" t="s">
        <v>155</v>
      </c>
      <c r="C81" s="172">
        <v>3108017</v>
      </c>
      <c r="D81" s="173" t="s">
        <v>76</v>
      </c>
      <c r="E81" s="174" t="s">
        <v>260</v>
      </c>
      <c r="F81" s="175" t="s">
        <v>94</v>
      </c>
      <c r="G81" s="175">
        <f>QUANTIDADES!F59</f>
        <v>13.99</v>
      </c>
      <c r="H81" s="176">
        <f>H71</f>
        <v>0</v>
      </c>
      <c r="I81" s="177">
        <f t="shared" ref="I81:I88" si="19">ROUND(H81*(1+$J$4),2)</f>
        <v>0</v>
      </c>
      <c r="J81" s="178">
        <f t="shared" ref="J81:J88" si="20">ROUND(I81*G81,2)</f>
        <v>0</v>
      </c>
    </row>
    <row r="82" spans="2:13" outlineLevel="3" x14ac:dyDescent="0.25">
      <c r="B82" s="184" t="s">
        <v>156</v>
      </c>
      <c r="C82" s="185">
        <v>407819</v>
      </c>
      <c r="D82" s="173" t="s">
        <v>76</v>
      </c>
      <c r="E82" s="174" t="s">
        <v>189</v>
      </c>
      <c r="F82" s="175" t="s">
        <v>212</v>
      </c>
      <c r="G82" s="175">
        <f>QUANTIDADES!H59</f>
        <v>892</v>
      </c>
      <c r="H82" s="176">
        <f t="shared" ref="H82:H88" si="21">H72</f>
        <v>0</v>
      </c>
      <c r="I82" s="177">
        <f t="shared" si="19"/>
        <v>0</v>
      </c>
      <c r="J82" s="178">
        <f t="shared" si="20"/>
        <v>0</v>
      </c>
    </row>
    <row r="83" spans="2:13" ht="25.5" outlineLevel="3" x14ac:dyDescent="0.25">
      <c r="B83" s="184" t="s">
        <v>157</v>
      </c>
      <c r="C83" s="185">
        <v>1106280</v>
      </c>
      <c r="D83" s="173" t="s">
        <v>76</v>
      </c>
      <c r="E83" s="174" t="s">
        <v>205</v>
      </c>
      <c r="F83" s="175" t="s">
        <v>116</v>
      </c>
      <c r="G83" s="175">
        <f>QUANTIDADES!G59</f>
        <v>8.9600000000000009</v>
      </c>
      <c r="H83" s="176">
        <f t="shared" si="21"/>
        <v>0</v>
      </c>
      <c r="I83" s="177">
        <f t="shared" si="19"/>
        <v>0</v>
      </c>
      <c r="J83" s="178">
        <f t="shared" si="20"/>
        <v>0</v>
      </c>
    </row>
    <row r="84" spans="2:13" ht="25.5" outlineLevel="3" x14ac:dyDescent="0.25">
      <c r="B84" s="184" t="s">
        <v>158</v>
      </c>
      <c r="C84" s="180">
        <v>1106088</v>
      </c>
      <c r="D84" s="173" t="s">
        <v>76</v>
      </c>
      <c r="E84" s="174" t="s">
        <v>192</v>
      </c>
      <c r="F84" s="175" t="s">
        <v>116</v>
      </c>
      <c r="G84" s="175">
        <f>G83</f>
        <v>8.9600000000000009</v>
      </c>
      <c r="H84" s="176">
        <f t="shared" si="21"/>
        <v>0</v>
      </c>
      <c r="I84" s="177">
        <f t="shared" si="19"/>
        <v>0</v>
      </c>
      <c r="J84" s="178">
        <f t="shared" si="20"/>
        <v>0</v>
      </c>
      <c r="M84" s="128"/>
    </row>
    <row r="85" spans="2:13" outlineLevel="3" x14ac:dyDescent="0.25">
      <c r="B85" s="184" t="s">
        <v>159</v>
      </c>
      <c r="C85" s="172">
        <v>1100657</v>
      </c>
      <c r="D85" s="173" t="s">
        <v>76</v>
      </c>
      <c r="E85" s="174" t="s">
        <v>193</v>
      </c>
      <c r="F85" s="181" t="s">
        <v>116</v>
      </c>
      <c r="G85" s="181">
        <f>G83</f>
        <v>8.9600000000000009</v>
      </c>
      <c r="H85" s="176">
        <f t="shared" si="21"/>
        <v>0</v>
      </c>
      <c r="I85" s="177">
        <f t="shared" si="19"/>
        <v>0</v>
      </c>
      <c r="J85" s="178">
        <f t="shared" si="20"/>
        <v>0</v>
      </c>
    </row>
    <row r="86" spans="2:13" ht="25.5" outlineLevel="3" x14ac:dyDescent="0.25">
      <c r="B86" s="184" t="s">
        <v>160</v>
      </c>
      <c r="C86" s="172">
        <v>5909007</v>
      </c>
      <c r="D86" s="173" t="s">
        <v>76</v>
      </c>
      <c r="E86" s="174" t="s">
        <v>194</v>
      </c>
      <c r="F86" s="181" t="s">
        <v>213</v>
      </c>
      <c r="G86" s="181">
        <f>ROUND(G85*2.4,2)</f>
        <v>21.5</v>
      </c>
      <c r="H86" s="176">
        <f t="shared" si="21"/>
        <v>0</v>
      </c>
      <c r="I86" s="177">
        <f t="shared" si="19"/>
        <v>0</v>
      </c>
      <c r="J86" s="178">
        <f t="shared" si="20"/>
        <v>0</v>
      </c>
    </row>
    <row r="87" spans="2:13" outlineLevel="3" x14ac:dyDescent="0.25">
      <c r="B87" s="184" t="s">
        <v>161</v>
      </c>
      <c r="C87" s="172">
        <v>5914539</v>
      </c>
      <c r="D87" s="173" t="s">
        <v>76</v>
      </c>
      <c r="E87" s="174" t="s">
        <v>195</v>
      </c>
      <c r="F87" s="175" t="s">
        <v>214</v>
      </c>
      <c r="G87" s="175">
        <f>ROUND(G86*$V$6,2)</f>
        <v>43</v>
      </c>
      <c r="H87" s="176">
        <f t="shared" si="21"/>
        <v>0</v>
      </c>
      <c r="I87" s="177">
        <f t="shared" si="19"/>
        <v>0</v>
      </c>
      <c r="J87" s="178">
        <f t="shared" si="20"/>
        <v>0</v>
      </c>
    </row>
    <row r="88" spans="2:13" outlineLevel="3" x14ac:dyDescent="0.25">
      <c r="B88" s="184" t="s">
        <v>162</v>
      </c>
      <c r="C88" s="180">
        <v>5914569</v>
      </c>
      <c r="D88" s="173" t="s">
        <v>76</v>
      </c>
      <c r="E88" s="174" t="s">
        <v>196</v>
      </c>
      <c r="F88" s="175" t="s">
        <v>214</v>
      </c>
      <c r="G88" s="175">
        <f>ROUND(G86*$V$7,2)</f>
        <v>1440.5</v>
      </c>
      <c r="H88" s="176">
        <f t="shared" si="21"/>
        <v>0</v>
      </c>
      <c r="I88" s="177">
        <f t="shared" si="19"/>
        <v>0</v>
      </c>
      <c r="J88" s="178">
        <f t="shared" si="20"/>
        <v>0</v>
      </c>
    </row>
    <row r="89" spans="2:13" outlineLevel="1" x14ac:dyDescent="0.25">
      <c r="B89" s="98">
        <v>6</v>
      </c>
      <c r="C89" s="99"/>
      <c r="D89" s="99"/>
      <c r="E89" s="98" t="s">
        <v>163</v>
      </c>
      <c r="F89" s="100"/>
      <c r="G89" s="100"/>
      <c r="H89" s="101"/>
      <c r="I89" s="102"/>
      <c r="J89" s="103">
        <f>SUM(J90:J91)</f>
        <v>0</v>
      </c>
    </row>
    <row r="90" spans="2:13" outlineLevel="2" x14ac:dyDescent="0.25">
      <c r="B90" s="171" t="s">
        <v>164</v>
      </c>
      <c r="C90" s="172">
        <v>2007971</v>
      </c>
      <c r="D90" s="173" t="s">
        <v>76</v>
      </c>
      <c r="E90" s="174" t="s">
        <v>207</v>
      </c>
      <c r="F90" s="181" t="s">
        <v>168</v>
      </c>
      <c r="G90" s="181">
        <f>8*0.7</f>
        <v>5.6</v>
      </c>
      <c r="H90" s="176"/>
      <c r="I90" s="177">
        <f t="shared" ref="I90:I91" si="22">ROUND(H90*(1+$J$4),2)</f>
        <v>0</v>
      </c>
      <c r="J90" s="178">
        <f t="shared" ref="J90:J91" si="23">ROUND(I90*G90,2)</f>
        <v>0</v>
      </c>
    </row>
    <row r="91" spans="2:13" outlineLevel="2" x14ac:dyDescent="0.25">
      <c r="B91" s="171" t="s">
        <v>165</v>
      </c>
      <c r="C91" s="172">
        <v>99814</v>
      </c>
      <c r="D91" s="173" t="s">
        <v>83</v>
      </c>
      <c r="E91" s="174" t="s">
        <v>208</v>
      </c>
      <c r="F91" s="181" t="s">
        <v>38</v>
      </c>
      <c r="G91" s="181">
        <f>11.3*6</f>
        <v>67.800000000000011</v>
      </c>
      <c r="H91" s="178"/>
      <c r="I91" s="177">
        <f t="shared" si="22"/>
        <v>0</v>
      </c>
      <c r="J91" s="178">
        <f t="shared" si="23"/>
        <v>0</v>
      </c>
    </row>
    <row r="93" spans="2:13" x14ac:dyDescent="0.25">
      <c r="B93" s="104" t="s">
        <v>166</v>
      </c>
    </row>
    <row r="96" spans="2:13" x14ac:dyDescent="0.2">
      <c r="H96" s="123"/>
      <c r="I96" s="57"/>
      <c r="J96" s="57"/>
    </row>
    <row r="97" spans="8:10" x14ac:dyDescent="0.25">
      <c r="H97" s="189"/>
      <c r="I97" s="189"/>
      <c r="J97" s="189"/>
    </row>
  </sheetData>
  <mergeCells count="6">
    <mergeCell ref="T6:T7"/>
    <mergeCell ref="O9:O10"/>
    <mergeCell ref="H97:J97"/>
    <mergeCell ref="C8:I8"/>
    <mergeCell ref="B2:J2"/>
    <mergeCell ref="O6:O7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1" fitToHeight="6" orientation="portrait" r:id="rId1"/>
  <rowBreaks count="1" manualBreakCount="1">
    <brk id="79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7">
    <outlinePr summaryBelow="0" summaryRight="0"/>
  </sheetPr>
  <dimension ref="A2:T60"/>
  <sheetViews>
    <sheetView view="pageBreakPreview" zoomScaleNormal="85" zoomScaleSheetLayoutView="100" workbookViewId="0">
      <selection activeCell="C47" sqref="C47"/>
    </sheetView>
  </sheetViews>
  <sheetFormatPr defaultColWidth="8.85546875" defaultRowHeight="15.75" outlineLevelRow="1" x14ac:dyDescent="0.25"/>
  <cols>
    <col min="1" max="1" width="3.28515625" style="133" customWidth="1"/>
    <col min="2" max="2" width="30.85546875" style="141" bestFit="1" customWidth="1"/>
    <col min="3" max="3" width="19.5703125" style="141" bestFit="1" customWidth="1"/>
    <col min="4" max="4" width="17.42578125" style="141" bestFit="1" customWidth="1"/>
    <col min="5" max="5" width="19.7109375" style="141" bestFit="1" customWidth="1"/>
    <col min="6" max="6" width="21.28515625" style="141" bestFit="1" customWidth="1"/>
    <col min="7" max="7" width="19.7109375" style="141" bestFit="1" customWidth="1"/>
    <col min="8" max="8" width="15.85546875" style="141" bestFit="1" customWidth="1"/>
    <col min="9" max="9" width="21.28515625" style="141" bestFit="1" customWidth="1"/>
    <col min="10" max="10" width="19.85546875" style="141" bestFit="1" customWidth="1"/>
    <col min="11" max="12" width="17.140625" style="141" bestFit="1" customWidth="1"/>
    <col min="13" max="13" width="13.28515625" style="142" customWidth="1"/>
    <col min="14" max="14" width="9.7109375" style="129" bestFit="1" customWidth="1"/>
    <col min="15" max="15" width="10.140625" style="129" bestFit="1" customWidth="1"/>
    <col min="16" max="16" width="21.7109375" style="130" customWidth="1"/>
    <col min="17" max="17" width="17.140625" style="130" customWidth="1"/>
    <col min="18" max="18" width="18.5703125" style="130" customWidth="1"/>
    <col min="19" max="19" width="18.140625" style="130" customWidth="1"/>
    <col min="20" max="20" width="14.28515625" style="130" customWidth="1"/>
    <col min="21" max="16384" width="8.85546875" style="130"/>
  </cols>
  <sheetData>
    <row r="2" spans="2:19" ht="19.5" x14ac:dyDescent="0.25">
      <c r="B2" s="202" t="s">
        <v>215</v>
      </c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</row>
    <row r="4" spans="2:19" ht="19.5" x14ac:dyDescent="0.25">
      <c r="B4" s="165" t="s">
        <v>262</v>
      </c>
    </row>
    <row r="5" spans="2:19" ht="19.5" x14ac:dyDescent="0.25">
      <c r="B5" s="165" t="s">
        <v>263</v>
      </c>
    </row>
    <row r="6" spans="2:19" ht="16.5" thickBot="1" x14ac:dyDescent="0.3"/>
    <row r="7" spans="2:19" ht="17.25" thickBot="1" x14ac:dyDescent="0.3">
      <c r="B7" s="199" t="s">
        <v>255</v>
      </c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1"/>
    </row>
    <row r="8" spans="2:19" ht="16.5" outlineLevel="1" x14ac:dyDescent="0.25">
      <c r="B8" s="166"/>
      <c r="C8" s="166"/>
      <c r="D8" s="166"/>
    </row>
    <row r="9" spans="2:19" ht="16.5" outlineLevel="1" x14ac:dyDescent="0.25">
      <c r="B9" s="140" t="s">
        <v>85</v>
      </c>
      <c r="C9" s="140"/>
      <c r="D9" s="140"/>
    </row>
    <row r="10" spans="2:19" ht="15.75" customHeight="1" outlineLevel="1" x14ac:dyDescent="0.25">
      <c r="B10" s="143"/>
      <c r="F10" s="144"/>
      <c r="G10" s="144"/>
      <c r="J10" s="143"/>
      <c r="K10" s="145"/>
      <c r="L10" s="143"/>
    </row>
    <row r="11" spans="2:19" ht="16.149999999999999" customHeight="1" outlineLevel="1" x14ac:dyDescent="0.25">
      <c r="B11" s="146" t="s">
        <v>87</v>
      </c>
      <c r="C11" s="146"/>
      <c r="D11" s="146"/>
      <c r="E11" s="143"/>
      <c r="F11" s="143"/>
      <c r="J11" s="143"/>
      <c r="K11" s="143"/>
      <c r="L11" s="143"/>
    </row>
    <row r="12" spans="2:19" ht="16.149999999999999" customHeight="1" outlineLevel="1" x14ac:dyDescent="0.25">
      <c r="B12" s="144"/>
      <c r="C12" s="144"/>
      <c r="D12" s="143"/>
      <c r="E12" s="143"/>
      <c r="F12" s="143"/>
      <c r="G12" s="143"/>
      <c r="H12" s="143"/>
      <c r="I12" s="143"/>
      <c r="J12" s="143"/>
      <c r="K12" s="143"/>
      <c r="L12" s="143"/>
    </row>
    <row r="13" spans="2:19" ht="16.149999999999999" customHeight="1" outlineLevel="1" x14ac:dyDescent="0.25">
      <c r="B13" s="196" t="s">
        <v>67</v>
      </c>
      <c r="C13" s="147" t="s">
        <v>216</v>
      </c>
      <c r="D13" s="147" t="s">
        <v>217</v>
      </c>
      <c r="E13" s="147" t="s">
        <v>218</v>
      </c>
      <c r="F13" s="147" t="s">
        <v>219</v>
      </c>
      <c r="G13" s="147" t="s">
        <v>220</v>
      </c>
      <c r="H13" s="147" t="s">
        <v>63</v>
      </c>
      <c r="I13" s="147" t="s">
        <v>221</v>
      </c>
      <c r="J13" s="147" t="s">
        <v>222</v>
      </c>
      <c r="K13" s="147" t="s">
        <v>223</v>
      </c>
      <c r="L13" s="147" t="s">
        <v>224</v>
      </c>
      <c r="M13" s="147" t="s">
        <v>225</v>
      </c>
      <c r="S13" s="132"/>
    </row>
    <row r="14" spans="2:19" ht="16.149999999999999" customHeight="1" outlineLevel="1" x14ac:dyDescent="0.25">
      <c r="B14" s="196"/>
      <c r="C14" s="147" t="s">
        <v>226</v>
      </c>
      <c r="D14" s="147" t="s">
        <v>227</v>
      </c>
      <c r="E14" s="147" t="s">
        <v>228</v>
      </c>
      <c r="F14" s="147" t="s">
        <v>229</v>
      </c>
      <c r="G14" s="147" t="s">
        <v>94</v>
      </c>
      <c r="H14" s="147" t="s">
        <v>116</v>
      </c>
      <c r="I14" s="147" t="s">
        <v>212</v>
      </c>
      <c r="J14" s="147" t="s">
        <v>116</v>
      </c>
      <c r="K14" s="147" t="s">
        <v>116</v>
      </c>
      <c r="L14" s="147" t="s">
        <v>116</v>
      </c>
      <c r="M14" s="147" t="s">
        <v>116</v>
      </c>
      <c r="S14" s="132"/>
    </row>
    <row r="15" spans="2:19" ht="16.149999999999999" customHeight="1" outlineLevel="1" x14ac:dyDescent="0.25">
      <c r="B15" s="148" t="s">
        <v>230</v>
      </c>
      <c r="C15" s="148">
        <v>7.5</v>
      </c>
      <c r="D15" s="148">
        <v>3.25</v>
      </c>
      <c r="E15" s="148">
        <v>0.6</v>
      </c>
      <c r="F15" s="148">
        <v>2</v>
      </c>
      <c r="G15" s="148">
        <f>(2*C15*E15+2*D15*E15)*F15</f>
        <v>25.8</v>
      </c>
      <c r="H15" s="148">
        <f>ROUND((C15*D15*E15)*F15,2)</f>
        <v>29.25</v>
      </c>
      <c r="I15" s="148">
        <v>1194</v>
      </c>
      <c r="J15" s="149">
        <f>ROUND(C15*D15*0.05*F15,2)</f>
        <v>2.44</v>
      </c>
      <c r="K15" s="149">
        <f>ROUND((C15+0.5+0.5)*(D15+0.5+0.5)*(E15+0.05)*F15,2)</f>
        <v>46.96</v>
      </c>
      <c r="L15" s="149">
        <f>K15-M15</f>
        <v>15.27</v>
      </c>
      <c r="M15" s="149">
        <f>H15+J15</f>
        <v>31.69</v>
      </c>
      <c r="S15" s="132"/>
    </row>
    <row r="16" spans="2:19" ht="16.149999999999999" customHeight="1" outlineLevel="1" x14ac:dyDescent="0.25">
      <c r="B16" s="143"/>
      <c r="C16" s="143"/>
      <c r="D16" s="143"/>
      <c r="E16" s="143"/>
      <c r="F16" s="150" t="s">
        <v>72</v>
      </c>
      <c r="G16" s="150">
        <f>ROUND(SUM(G15:G15),2)</f>
        <v>25.8</v>
      </c>
      <c r="H16" s="150">
        <f>ROUND(SUM(H15:H15),2)</f>
        <v>29.25</v>
      </c>
      <c r="I16" s="150">
        <f t="shared" ref="I16:K16" si="0">ROUND(SUM(I15:I15),2)</f>
        <v>1194</v>
      </c>
      <c r="J16" s="150">
        <f t="shared" si="0"/>
        <v>2.44</v>
      </c>
      <c r="K16" s="150">
        <f t="shared" si="0"/>
        <v>46.96</v>
      </c>
      <c r="L16" s="150">
        <f>ROUND(SUM(L15:L15),2)</f>
        <v>15.27</v>
      </c>
      <c r="M16" s="150">
        <f>ROUND(SUM(M15:M15),2)</f>
        <v>31.69</v>
      </c>
      <c r="N16" s="130"/>
      <c r="O16" s="130"/>
    </row>
    <row r="17" spans="1:20" ht="16.149999999999999" customHeight="1" outlineLevel="1" x14ac:dyDescent="0.25">
      <c r="B17" s="143"/>
      <c r="C17" s="143"/>
      <c r="D17" s="143"/>
      <c r="E17" s="143"/>
      <c r="F17" s="144"/>
      <c r="G17" s="144"/>
      <c r="H17" s="151"/>
      <c r="I17" s="144"/>
      <c r="J17" s="151"/>
      <c r="K17" s="151"/>
      <c r="L17" s="151"/>
      <c r="M17" s="151"/>
      <c r="N17" s="130"/>
      <c r="O17" s="130"/>
    </row>
    <row r="18" spans="1:20" ht="16.149999999999999" customHeight="1" outlineLevel="1" x14ac:dyDescent="0.25">
      <c r="B18" s="140" t="s">
        <v>104</v>
      </c>
      <c r="C18" s="140"/>
      <c r="D18" s="140"/>
      <c r="E18" s="143"/>
      <c r="F18" s="144"/>
      <c r="G18" s="144"/>
      <c r="H18" s="151"/>
      <c r="I18" s="144"/>
      <c r="J18" s="151"/>
      <c r="K18" s="151"/>
      <c r="L18" s="151"/>
      <c r="M18" s="151"/>
      <c r="N18" s="130"/>
      <c r="O18" s="130"/>
    </row>
    <row r="19" spans="1:20" ht="16.149999999999999" customHeight="1" outlineLevel="1" x14ac:dyDescent="0.25">
      <c r="A19" s="130"/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52"/>
      <c r="M19" s="152"/>
      <c r="N19" s="134"/>
      <c r="O19" s="134"/>
    </row>
    <row r="20" spans="1:20" ht="16.149999999999999" customHeight="1" outlineLevel="1" x14ac:dyDescent="0.25">
      <c r="B20" s="146" t="s">
        <v>231</v>
      </c>
      <c r="C20" s="146"/>
      <c r="D20" s="146"/>
      <c r="E20" s="143"/>
      <c r="L20" s="144"/>
      <c r="M20" s="144"/>
      <c r="N20" s="131"/>
      <c r="O20" s="131"/>
    </row>
    <row r="21" spans="1:20" ht="16.149999999999999" customHeight="1" outlineLevel="1" x14ac:dyDescent="0.25">
      <c r="B21" s="143"/>
      <c r="C21" s="143"/>
      <c r="D21" s="143"/>
      <c r="E21" s="143"/>
      <c r="F21" s="143"/>
      <c r="G21" s="152"/>
      <c r="H21" s="152"/>
      <c r="J21" s="152"/>
      <c r="K21" s="152"/>
      <c r="L21" s="152"/>
      <c r="M21" s="152"/>
      <c r="N21" s="134"/>
      <c r="O21" s="134"/>
    </row>
    <row r="22" spans="1:20" ht="16.149999999999999" customHeight="1" outlineLevel="1" x14ac:dyDescent="0.25">
      <c r="B22" s="196" t="s">
        <v>67</v>
      </c>
      <c r="C22" s="147" t="s">
        <v>216</v>
      </c>
      <c r="D22" s="147" t="s">
        <v>217</v>
      </c>
      <c r="E22" s="147" t="s">
        <v>218</v>
      </c>
      <c r="F22" s="147" t="s">
        <v>219</v>
      </c>
      <c r="G22" s="147" t="s">
        <v>220</v>
      </c>
      <c r="H22" s="147" t="s">
        <v>63</v>
      </c>
      <c r="I22" s="147" t="s">
        <v>221</v>
      </c>
      <c r="J22" s="147" t="s">
        <v>232</v>
      </c>
      <c r="M22" s="152"/>
      <c r="N22" s="134"/>
      <c r="O22" s="134"/>
      <c r="Q22" s="135"/>
    </row>
    <row r="23" spans="1:20" ht="16.149999999999999" customHeight="1" outlineLevel="1" x14ac:dyDescent="0.25">
      <c r="B23" s="196"/>
      <c r="C23" s="147" t="s">
        <v>226</v>
      </c>
      <c r="D23" s="147" t="s">
        <v>227</v>
      </c>
      <c r="E23" s="147" t="s">
        <v>228</v>
      </c>
      <c r="F23" s="147" t="s">
        <v>229</v>
      </c>
      <c r="G23" s="147" t="s">
        <v>94</v>
      </c>
      <c r="H23" s="147" t="s">
        <v>116</v>
      </c>
      <c r="I23" s="147" t="s">
        <v>212</v>
      </c>
      <c r="J23" s="147" t="s">
        <v>116</v>
      </c>
      <c r="M23" s="152"/>
      <c r="N23" s="134"/>
      <c r="O23" s="134"/>
      <c r="Q23" s="135"/>
    </row>
    <row r="24" spans="1:20" ht="16.149999999999999" customHeight="1" outlineLevel="1" x14ac:dyDescent="0.25">
      <c r="B24" s="148" t="s">
        <v>233</v>
      </c>
      <c r="C24" s="148">
        <v>6</v>
      </c>
      <c r="D24" s="148">
        <v>0.35</v>
      </c>
      <c r="E24" s="148">
        <f>((4.61+4.55)/2)</f>
        <v>4.58</v>
      </c>
      <c r="F24" s="148">
        <v>2</v>
      </c>
      <c r="G24" s="148">
        <f>(2*C24*E24+2*D24*E24)*F24</f>
        <v>116.33200000000001</v>
      </c>
      <c r="H24" s="148">
        <f>C24*D24*E24*F24</f>
        <v>19.235999999999997</v>
      </c>
      <c r="I24" s="148">
        <v>2458</v>
      </c>
      <c r="J24" s="148">
        <f>C24*E24*1.2*F24</f>
        <v>65.951999999999998</v>
      </c>
      <c r="M24" s="152"/>
      <c r="N24" s="134"/>
      <c r="O24" s="134"/>
      <c r="Q24" s="132"/>
    </row>
    <row r="25" spans="1:20" ht="16.149999999999999" customHeight="1" outlineLevel="1" x14ac:dyDescent="0.25">
      <c r="B25" s="143"/>
      <c r="C25" s="143"/>
      <c r="D25" s="143"/>
      <c r="E25" s="143"/>
      <c r="F25" s="153" t="s">
        <v>72</v>
      </c>
      <c r="G25" s="153">
        <f>ROUND(SUM(G24:G24),2)</f>
        <v>116.33</v>
      </c>
      <c r="H25" s="153">
        <f>ROUND(SUM(H24:H24),2)</f>
        <v>19.239999999999998</v>
      </c>
      <c r="I25" s="153">
        <f t="shared" ref="I25:J25" si="1">ROUND(SUM(I24:I24),2)</f>
        <v>2458</v>
      </c>
      <c r="J25" s="153">
        <f t="shared" si="1"/>
        <v>65.95</v>
      </c>
      <c r="M25" s="152"/>
      <c r="N25" s="134"/>
      <c r="O25" s="134"/>
    </row>
    <row r="26" spans="1:20" ht="16.149999999999999" customHeight="1" outlineLevel="1" x14ac:dyDescent="0.25">
      <c r="B26" s="143"/>
      <c r="C26" s="143"/>
      <c r="D26" s="143"/>
      <c r="E26" s="143"/>
      <c r="F26" s="151"/>
      <c r="G26" s="151"/>
      <c r="H26" s="151"/>
      <c r="I26" s="151"/>
      <c r="J26" s="151"/>
      <c r="M26" s="152"/>
      <c r="N26" s="134"/>
      <c r="O26" s="134"/>
    </row>
    <row r="27" spans="1:20" s="129" customFormat="1" ht="16.5" outlineLevel="1" x14ac:dyDescent="0.25">
      <c r="A27" s="133"/>
      <c r="B27" s="146" t="s">
        <v>234</v>
      </c>
      <c r="C27" s="146"/>
      <c r="D27" s="146"/>
      <c r="E27" s="141"/>
      <c r="F27" s="141"/>
      <c r="G27" s="142"/>
      <c r="H27" s="142"/>
      <c r="I27" s="142"/>
      <c r="J27" s="141"/>
      <c r="K27" s="141"/>
      <c r="L27" s="141"/>
      <c r="M27" s="142"/>
      <c r="P27" s="130"/>
      <c r="Q27" s="130"/>
      <c r="R27" s="130"/>
      <c r="S27" s="130"/>
      <c r="T27" s="130"/>
    </row>
    <row r="28" spans="1:20" s="129" customFormat="1" outlineLevel="1" x14ac:dyDescent="0.25">
      <c r="A28" s="133"/>
      <c r="B28" s="141"/>
      <c r="C28" s="141"/>
      <c r="D28" s="141"/>
      <c r="E28" s="141"/>
      <c r="F28" s="141"/>
      <c r="G28" s="141"/>
      <c r="H28" s="141"/>
      <c r="I28" s="141"/>
      <c r="J28" s="141"/>
      <c r="K28" s="142"/>
      <c r="L28" s="141"/>
      <c r="M28" s="142"/>
      <c r="P28" s="130"/>
      <c r="Q28" s="130"/>
      <c r="R28" s="130"/>
      <c r="S28" s="130"/>
      <c r="T28" s="130"/>
    </row>
    <row r="29" spans="1:20" s="129" customFormat="1" ht="16.149999999999999" customHeight="1" outlineLevel="1" x14ac:dyDescent="0.25">
      <c r="A29" s="133"/>
      <c r="B29" s="197" t="s">
        <v>67</v>
      </c>
      <c r="C29" s="147" t="s">
        <v>235</v>
      </c>
      <c r="D29" s="197" t="s">
        <v>236</v>
      </c>
      <c r="E29" s="147" t="s">
        <v>237</v>
      </c>
      <c r="F29" s="197" t="s">
        <v>219</v>
      </c>
      <c r="G29" s="147" t="s">
        <v>220</v>
      </c>
      <c r="H29" s="147" t="s">
        <v>63</v>
      </c>
      <c r="I29" s="147" t="s">
        <v>221</v>
      </c>
      <c r="J29" s="147" t="s">
        <v>232</v>
      </c>
      <c r="K29" s="142"/>
      <c r="L29" s="142"/>
      <c r="M29" s="142"/>
      <c r="P29" s="130"/>
      <c r="Q29" s="130"/>
      <c r="R29" s="130"/>
      <c r="S29" s="130"/>
      <c r="T29" s="130"/>
    </row>
    <row r="30" spans="1:20" s="129" customFormat="1" ht="16.149999999999999" customHeight="1" outlineLevel="1" x14ac:dyDescent="0.25">
      <c r="A30" s="133"/>
      <c r="B30" s="197"/>
      <c r="C30" s="147" t="s">
        <v>238</v>
      </c>
      <c r="D30" s="197"/>
      <c r="E30" s="147" t="s">
        <v>239</v>
      </c>
      <c r="F30" s="197"/>
      <c r="G30" s="147" t="s">
        <v>94</v>
      </c>
      <c r="H30" s="150" t="s">
        <v>116</v>
      </c>
      <c r="I30" s="147" t="s">
        <v>212</v>
      </c>
      <c r="J30" s="147" t="s">
        <v>116</v>
      </c>
      <c r="K30" s="142"/>
      <c r="L30" s="142"/>
      <c r="M30" s="142"/>
      <c r="P30" s="130"/>
      <c r="Q30" s="130"/>
      <c r="R30" s="130"/>
      <c r="S30" s="130"/>
      <c r="T30" s="130"/>
    </row>
    <row r="31" spans="1:20" s="129" customFormat="1" ht="16.149999999999999" customHeight="1" outlineLevel="1" x14ac:dyDescent="0.25">
      <c r="A31" s="133"/>
      <c r="B31" s="148" t="s">
        <v>240</v>
      </c>
      <c r="C31" s="156">
        <v>14.02</v>
      </c>
      <c r="D31" s="148">
        <v>5.14</v>
      </c>
      <c r="E31" s="148">
        <v>0.25</v>
      </c>
      <c r="F31" s="148">
        <v>4</v>
      </c>
      <c r="G31" s="148">
        <f>((D31*E31)+2*C31)*F31</f>
        <v>117.3</v>
      </c>
      <c r="H31" s="148">
        <f>C31*E31*F31</f>
        <v>14.02</v>
      </c>
      <c r="I31" s="148">
        <v>835</v>
      </c>
      <c r="J31" s="148">
        <f>(4-1.2)*E24*1.2*F31</f>
        <v>61.555199999999999</v>
      </c>
      <c r="K31" s="142"/>
      <c r="L31" s="142"/>
      <c r="M31" s="142"/>
      <c r="P31" s="130"/>
      <c r="Q31" s="130"/>
      <c r="R31" s="130"/>
      <c r="S31" s="130"/>
      <c r="T31" s="130"/>
    </row>
    <row r="32" spans="1:20" s="129" customFormat="1" ht="17.25" outlineLevel="1" x14ac:dyDescent="0.25">
      <c r="A32" s="133"/>
      <c r="B32" s="141"/>
      <c r="C32" s="141"/>
      <c r="D32" s="141"/>
      <c r="E32" s="141"/>
      <c r="F32" s="153" t="s">
        <v>72</v>
      </c>
      <c r="G32" s="153">
        <f>ROUND(SUM(G31:G31),2)</f>
        <v>117.3</v>
      </c>
      <c r="H32" s="153">
        <f>ROUND(SUM(H31:H31),2)</f>
        <v>14.02</v>
      </c>
      <c r="I32" s="153">
        <f t="shared" ref="I32:J32" si="2">ROUND(SUM(I31:I31),2)</f>
        <v>835</v>
      </c>
      <c r="J32" s="153">
        <f t="shared" si="2"/>
        <v>61.56</v>
      </c>
      <c r="K32" s="142"/>
      <c r="L32" s="141"/>
      <c r="M32" s="142"/>
      <c r="P32" s="130"/>
      <c r="Q32" s="130"/>
      <c r="R32" s="130"/>
      <c r="S32" s="130"/>
      <c r="T32" s="130"/>
    </row>
    <row r="33" spans="1:17" ht="16.149999999999999" customHeight="1" outlineLevel="1" x14ac:dyDescent="0.25">
      <c r="B33" s="154"/>
      <c r="C33" s="154"/>
      <c r="D33" s="154"/>
      <c r="E33" s="154"/>
      <c r="F33" s="167"/>
      <c r="G33" s="167"/>
      <c r="H33" s="155"/>
      <c r="I33" s="168"/>
      <c r="J33" s="167"/>
      <c r="K33" s="157"/>
      <c r="L33" s="158"/>
      <c r="M33" s="152"/>
      <c r="N33" s="134"/>
      <c r="O33" s="134"/>
    </row>
    <row r="34" spans="1:17" ht="16.149999999999999" customHeight="1" outlineLevel="1" x14ac:dyDescent="0.25">
      <c r="B34" s="140" t="s">
        <v>128</v>
      </c>
      <c r="C34" s="140"/>
      <c r="D34" s="140"/>
      <c r="E34" s="143"/>
      <c r="F34" s="144"/>
      <c r="G34" s="144"/>
      <c r="H34" s="151"/>
      <c r="I34" s="157"/>
      <c r="J34" s="144"/>
      <c r="K34" s="157"/>
      <c r="L34" s="158"/>
      <c r="M34" s="152"/>
      <c r="N34" s="134"/>
      <c r="O34" s="134"/>
    </row>
    <row r="35" spans="1:17" ht="16.149999999999999" customHeight="1" outlineLevel="1" x14ac:dyDescent="0.25">
      <c r="A35" s="130"/>
      <c r="B35" s="142"/>
      <c r="C35" s="142"/>
      <c r="D35" s="142"/>
      <c r="E35" s="142"/>
      <c r="F35" s="142"/>
      <c r="G35" s="142"/>
      <c r="H35" s="142"/>
      <c r="I35" s="157"/>
      <c r="J35" s="142"/>
      <c r="K35" s="142"/>
      <c r="L35" s="158"/>
      <c r="M35" s="152"/>
      <c r="N35" s="134"/>
      <c r="O35" s="134"/>
    </row>
    <row r="36" spans="1:17" ht="16.149999999999999" customHeight="1" outlineLevel="1" x14ac:dyDescent="0.25">
      <c r="B36" s="146" t="s">
        <v>241</v>
      </c>
      <c r="C36" s="146"/>
      <c r="D36" s="146"/>
      <c r="E36" s="143"/>
      <c r="G36" s="157"/>
      <c r="H36" s="157"/>
      <c r="I36" s="157"/>
      <c r="K36" s="144"/>
      <c r="L36" s="144"/>
      <c r="M36" s="144"/>
      <c r="N36" s="131"/>
      <c r="O36" s="131"/>
    </row>
    <row r="37" spans="1:17" ht="16.149999999999999" customHeight="1" outlineLevel="1" x14ac:dyDescent="0.25">
      <c r="B37" s="144"/>
      <c r="C37" s="144"/>
      <c r="D37" s="143"/>
      <c r="E37" s="143"/>
      <c r="K37" s="144"/>
      <c r="L37" s="144"/>
      <c r="M37" s="144"/>
      <c r="N37" s="131"/>
      <c r="O37" s="131"/>
    </row>
    <row r="38" spans="1:17" ht="16.149999999999999" customHeight="1" outlineLevel="1" x14ac:dyDescent="0.25">
      <c r="B38" s="144"/>
      <c r="C38" s="204" t="s">
        <v>242</v>
      </c>
      <c r="D38" s="204"/>
      <c r="E38" s="159">
        <v>2.4</v>
      </c>
      <c r="F38" s="160" t="s">
        <v>243</v>
      </c>
      <c r="G38" s="143"/>
      <c r="H38" s="143"/>
      <c r="I38" s="143"/>
      <c r="J38" s="143"/>
      <c r="K38" s="142"/>
      <c r="L38" s="142"/>
    </row>
    <row r="39" spans="1:17" ht="16.149999999999999" customHeight="1" outlineLevel="1" x14ac:dyDescent="0.25">
      <c r="B39" s="143"/>
      <c r="C39" s="143"/>
      <c r="D39" s="143"/>
      <c r="E39" s="142"/>
      <c r="F39" s="152"/>
      <c r="G39" s="152"/>
      <c r="H39" s="152"/>
      <c r="I39" s="152"/>
      <c r="J39" s="152"/>
      <c r="K39" s="152"/>
      <c r="L39" s="142"/>
      <c r="M39" s="152"/>
      <c r="N39" s="134"/>
      <c r="O39" s="134"/>
    </row>
    <row r="40" spans="1:17" ht="45" customHeight="1" outlineLevel="1" x14ac:dyDescent="0.25">
      <c r="B40" s="196" t="s">
        <v>67</v>
      </c>
      <c r="C40" s="147" t="s">
        <v>244</v>
      </c>
      <c r="D40" s="147" t="s">
        <v>216</v>
      </c>
      <c r="E40" s="147" t="s">
        <v>219</v>
      </c>
      <c r="F40" s="147" t="s">
        <v>236</v>
      </c>
      <c r="G40" s="147" t="s">
        <v>220</v>
      </c>
      <c r="H40" s="147" t="s">
        <v>63</v>
      </c>
      <c r="I40" s="147" t="s">
        <v>221</v>
      </c>
      <c r="J40" s="147" t="s">
        <v>245</v>
      </c>
      <c r="K40" s="147" t="s">
        <v>246</v>
      </c>
      <c r="L40" s="142"/>
      <c r="M40" s="152"/>
      <c r="N40" s="134"/>
      <c r="O40" s="134"/>
      <c r="Q40" s="135"/>
    </row>
    <row r="41" spans="1:17" ht="16.149999999999999" customHeight="1" outlineLevel="1" x14ac:dyDescent="0.25">
      <c r="B41" s="196"/>
      <c r="C41" s="147" t="s">
        <v>238</v>
      </c>
      <c r="D41" s="147" t="s">
        <v>226</v>
      </c>
      <c r="E41" s="147" t="s">
        <v>229</v>
      </c>
      <c r="F41" s="147" t="s">
        <v>247</v>
      </c>
      <c r="G41" s="147" t="s">
        <v>94</v>
      </c>
      <c r="H41" s="147" t="s">
        <v>116</v>
      </c>
      <c r="I41" s="147" t="s">
        <v>212</v>
      </c>
      <c r="J41" s="147" t="s">
        <v>212</v>
      </c>
      <c r="K41" s="147" t="s">
        <v>213</v>
      </c>
      <c r="L41" s="142"/>
      <c r="M41" s="152"/>
      <c r="N41" s="134"/>
      <c r="O41" s="134"/>
      <c r="Q41" s="135"/>
    </row>
    <row r="42" spans="1:17" ht="16.149999999999999" customHeight="1" outlineLevel="1" x14ac:dyDescent="0.25">
      <c r="B42" s="148" t="s">
        <v>62</v>
      </c>
      <c r="C42" s="161">
        <v>0.21199999999999999</v>
      </c>
      <c r="D42" s="148">
        <v>11</v>
      </c>
      <c r="E42" s="148">
        <v>3</v>
      </c>
      <c r="F42" s="148">
        <v>3.15</v>
      </c>
      <c r="G42" s="148">
        <f>(F42*D42+2*C42)*E42</f>
        <v>105.22199999999999</v>
      </c>
      <c r="H42" s="148">
        <f>C42*D42*E42</f>
        <v>6.9959999999999996</v>
      </c>
      <c r="I42" s="148">
        <v>1742</v>
      </c>
      <c r="J42" s="148">
        <v>483</v>
      </c>
      <c r="K42" s="148">
        <f>H42*E38+(I42+J42)/1000</f>
        <v>19.0154</v>
      </c>
      <c r="L42" s="142"/>
      <c r="M42" s="152"/>
      <c r="N42" s="134"/>
      <c r="O42" s="134"/>
      <c r="Q42" s="132"/>
    </row>
    <row r="43" spans="1:17" ht="16.149999999999999" customHeight="1" outlineLevel="1" x14ac:dyDescent="0.25">
      <c r="B43" s="162" t="s">
        <v>248</v>
      </c>
      <c r="C43" s="162">
        <f>(10+3)*1*E42</f>
        <v>39</v>
      </c>
      <c r="D43" s="143"/>
      <c r="E43" s="143"/>
      <c r="F43" s="153" t="s">
        <v>72</v>
      </c>
      <c r="G43" s="153">
        <f>ROUND(SUM(G42:G42),2)</f>
        <v>105.22</v>
      </c>
      <c r="H43" s="153">
        <f>ROUND(SUM(H42:H42),2)</f>
        <v>7</v>
      </c>
      <c r="I43" s="153">
        <f>SUM(I42:I42)</f>
        <v>1742</v>
      </c>
      <c r="J43" s="153">
        <f>SUM(J42:J42)</f>
        <v>483</v>
      </c>
      <c r="K43" s="153">
        <f>ROUND(SUM(K42:K42),2)</f>
        <v>19.02</v>
      </c>
      <c r="L43" s="142"/>
      <c r="M43" s="152"/>
      <c r="N43" s="134"/>
      <c r="O43" s="134"/>
    </row>
    <row r="44" spans="1:17" ht="16.149999999999999" customHeight="1" outlineLevel="1" x14ac:dyDescent="0.25">
      <c r="B44" s="143"/>
      <c r="C44" s="143"/>
      <c r="D44" s="143"/>
      <c r="E44" s="143"/>
      <c r="F44" s="151"/>
      <c r="G44" s="151"/>
      <c r="H44" s="151"/>
      <c r="I44" s="151"/>
      <c r="J44" s="151"/>
      <c r="K44" s="151"/>
      <c r="L44" s="142"/>
      <c r="M44" s="152"/>
      <c r="N44" s="134"/>
      <c r="O44" s="134"/>
    </row>
    <row r="45" spans="1:17" ht="16.149999999999999" customHeight="1" outlineLevel="1" x14ac:dyDescent="0.25">
      <c r="B45" s="146" t="s">
        <v>249</v>
      </c>
      <c r="C45" s="146"/>
      <c r="D45" s="146"/>
      <c r="E45" s="143"/>
      <c r="F45" s="143"/>
      <c r="G45" s="157"/>
      <c r="H45" s="157"/>
      <c r="I45" s="157"/>
      <c r="J45" s="143"/>
      <c r="K45" s="142"/>
      <c r="L45" s="143"/>
    </row>
    <row r="46" spans="1:17" ht="16.149999999999999" customHeight="1" outlineLevel="1" x14ac:dyDescent="0.25">
      <c r="B46" s="144"/>
      <c r="C46" s="144"/>
      <c r="D46" s="143"/>
      <c r="E46" s="143"/>
      <c r="F46" s="143"/>
      <c r="G46" s="143"/>
      <c r="H46" s="143"/>
      <c r="I46" s="143"/>
      <c r="J46" s="143"/>
      <c r="K46" s="142"/>
      <c r="L46" s="144"/>
    </row>
    <row r="47" spans="1:17" ht="16.149999999999999" customHeight="1" outlineLevel="1" x14ac:dyDescent="0.25">
      <c r="B47" s="144"/>
      <c r="C47" s="140" t="s">
        <v>250</v>
      </c>
      <c r="D47" s="140"/>
      <c r="E47" s="159">
        <v>2.5</v>
      </c>
      <c r="F47" s="160" t="s">
        <v>243</v>
      </c>
      <c r="G47" s="143"/>
      <c r="H47" s="143"/>
      <c r="I47" s="143"/>
      <c r="J47" s="143"/>
      <c r="K47" s="142"/>
      <c r="L47" s="142"/>
    </row>
    <row r="48" spans="1:17" ht="16.149999999999999" customHeight="1" outlineLevel="1" x14ac:dyDescent="0.25">
      <c r="B48" s="143"/>
      <c r="C48" s="143"/>
      <c r="D48" s="143"/>
      <c r="E48" s="143"/>
      <c r="F48" s="143"/>
      <c r="G48" s="143"/>
      <c r="I48" s="143"/>
      <c r="J48" s="143"/>
      <c r="K48" s="142"/>
      <c r="L48" s="142"/>
    </row>
    <row r="49" spans="1:20" ht="37.9" customHeight="1" outlineLevel="1" x14ac:dyDescent="0.25">
      <c r="B49" s="197" t="s">
        <v>67</v>
      </c>
      <c r="C49" s="147" t="s">
        <v>235</v>
      </c>
      <c r="D49" s="197" t="s">
        <v>236</v>
      </c>
      <c r="E49" s="147" t="s">
        <v>237</v>
      </c>
      <c r="F49" s="197" t="s">
        <v>219</v>
      </c>
      <c r="G49" s="147" t="s">
        <v>220</v>
      </c>
      <c r="H49" s="147" t="s">
        <v>63</v>
      </c>
      <c r="I49" s="147" t="s">
        <v>221</v>
      </c>
      <c r="J49" s="147" t="s">
        <v>246</v>
      </c>
      <c r="K49" s="142"/>
      <c r="L49" s="142"/>
    </row>
    <row r="50" spans="1:20" s="129" customFormat="1" ht="16.149999999999999" customHeight="1" outlineLevel="1" x14ac:dyDescent="0.25">
      <c r="A50" s="133"/>
      <c r="B50" s="197"/>
      <c r="C50" s="147" t="s">
        <v>238</v>
      </c>
      <c r="D50" s="197"/>
      <c r="E50" s="147" t="s">
        <v>251</v>
      </c>
      <c r="F50" s="197"/>
      <c r="G50" s="147" t="s">
        <v>94</v>
      </c>
      <c r="H50" s="150" t="s">
        <v>116</v>
      </c>
      <c r="I50" s="147" t="s">
        <v>212</v>
      </c>
      <c r="J50" s="147" t="s">
        <v>252</v>
      </c>
      <c r="K50" s="142"/>
      <c r="L50" s="142"/>
      <c r="M50" s="142"/>
      <c r="P50" s="130"/>
      <c r="Q50" s="130"/>
      <c r="R50" s="130"/>
      <c r="S50" s="130"/>
      <c r="T50" s="130"/>
    </row>
    <row r="51" spans="1:20" s="129" customFormat="1" ht="16.149999999999999" customHeight="1" outlineLevel="1" x14ac:dyDescent="0.25">
      <c r="A51" s="133"/>
      <c r="B51" s="148" t="s">
        <v>256</v>
      </c>
      <c r="C51" s="163">
        <v>3.14</v>
      </c>
      <c r="D51" s="148">
        <f>8.3+(0.52*4)</f>
        <v>10.38</v>
      </c>
      <c r="E51" s="148">
        <v>0.12</v>
      </c>
      <c r="F51" s="148">
        <f>2*10</f>
        <v>20</v>
      </c>
      <c r="G51" s="148">
        <f>ROUND((C51+D51*E51)*F51,2)</f>
        <v>87.71</v>
      </c>
      <c r="H51" s="148">
        <f>ROUND(C51*E51*F51,2)</f>
        <v>7.54</v>
      </c>
      <c r="I51" s="148">
        <v>584</v>
      </c>
      <c r="J51" s="148">
        <f>H51*E47</f>
        <v>18.850000000000001</v>
      </c>
      <c r="K51" s="142"/>
      <c r="L51" s="142"/>
      <c r="M51" s="142"/>
      <c r="P51" s="130"/>
      <c r="Q51" s="130"/>
      <c r="R51" s="130"/>
      <c r="S51" s="130"/>
      <c r="T51" s="130"/>
    </row>
    <row r="52" spans="1:20" s="129" customFormat="1" ht="16.149999999999999" customHeight="1" outlineLevel="1" x14ac:dyDescent="0.25">
      <c r="A52" s="133"/>
      <c r="B52" s="141"/>
      <c r="C52" s="141"/>
      <c r="D52" s="142"/>
      <c r="E52" s="150" t="s">
        <v>72</v>
      </c>
      <c r="F52" s="153">
        <f>ROUND(SUM(F51:F51),2)</f>
        <v>20</v>
      </c>
      <c r="G52" s="153">
        <f t="shared" ref="G52:J52" si="3">ROUND(SUM(G51:G51),2)</f>
        <v>87.71</v>
      </c>
      <c r="H52" s="153">
        <f t="shared" si="3"/>
        <v>7.54</v>
      </c>
      <c r="I52" s="153">
        <f t="shared" si="3"/>
        <v>584</v>
      </c>
      <c r="J52" s="153">
        <f t="shared" si="3"/>
        <v>18.850000000000001</v>
      </c>
      <c r="K52" s="142"/>
      <c r="L52" s="142"/>
      <c r="M52" s="142"/>
      <c r="P52" s="130"/>
      <c r="Q52" s="130"/>
      <c r="R52" s="130"/>
      <c r="S52" s="130"/>
      <c r="T52" s="130"/>
    </row>
    <row r="53" spans="1:20" s="129" customFormat="1" outlineLevel="1" x14ac:dyDescent="0.25">
      <c r="A53" s="133"/>
      <c r="B53" s="143"/>
      <c r="C53" s="143"/>
      <c r="D53" s="143"/>
      <c r="E53" s="143"/>
      <c r="F53" s="143"/>
      <c r="G53" s="143"/>
      <c r="H53" s="143"/>
      <c r="I53" s="143"/>
      <c r="J53" s="143"/>
      <c r="K53" s="142"/>
      <c r="L53" s="142"/>
      <c r="M53" s="142"/>
      <c r="P53" s="130"/>
      <c r="Q53" s="130"/>
      <c r="R53" s="130"/>
      <c r="S53" s="130"/>
      <c r="T53" s="130"/>
    </row>
    <row r="54" spans="1:20" s="129" customFormat="1" ht="16.5" outlineLevel="1" x14ac:dyDescent="0.25">
      <c r="A54" s="133"/>
      <c r="B54" s="146" t="s">
        <v>154</v>
      </c>
      <c r="C54" s="146"/>
      <c r="D54" s="146"/>
      <c r="E54" s="142"/>
      <c r="F54" s="142"/>
      <c r="G54" s="142"/>
      <c r="H54" s="141"/>
      <c r="I54" s="141"/>
      <c r="J54" s="141"/>
      <c r="K54" s="141"/>
      <c r="L54" s="141"/>
      <c r="M54" s="142"/>
      <c r="P54" s="130"/>
      <c r="Q54" s="130"/>
      <c r="R54" s="130"/>
      <c r="S54" s="130"/>
      <c r="T54" s="130"/>
    </row>
    <row r="55" spans="1:20" s="129" customFormat="1" outlineLevel="1" x14ac:dyDescent="0.25">
      <c r="A55" s="133"/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2"/>
      <c r="P55" s="130"/>
      <c r="Q55" s="130"/>
      <c r="R55" s="130"/>
      <c r="S55" s="130"/>
      <c r="T55" s="130"/>
    </row>
    <row r="56" spans="1:20" s="129" customFormat="1" ht="16.149999999999999" customHeight="1" outlineLevel="1" x14ac:dyDescent="0.25">
      <c r="A56" s="133"/>
      <c r="B56" s="197" t="s">
        <v>67</v>
      </c>
      <c r="C56" s="147" t="s">
        <v>235</v>
      </c>
      <c r="D56" s="197" t="s">
        <v>236</v>
      </c>
      <c r="E56" s="147" t="s">
        <v>216</v>
      </c>
      <c r="F56" s="147" t="s">
        <v>220</v>
      </c>
      <c r="G56" s="147" t="s">
        <v>63</v>
      </c>
      <c r="H56" s="147" t="s">
        <v>221</v>
      </c>
      <c r="I56" s="142"/>
      <c r="J56" s="143"/>
      <c r="K56" s="142"/>
      <c r="L56" s="142"/>
      <c r="M56" s="142"/>
      <c r="P56" s="130"/>
      <c r="Q56" s="130"/>
      <c r="R56" s="130"/>
      <c r="S56" s="130"/>
      <c r="T56" s="130"/>
    </row>
    <row r="57" spans="1:20" s="129" customFormat="1" ht="16.149999999999999" customHeight="1" outlineLevel="1" x14ac:dyDescent="0.25">
      <c r="A57" s="133"/>
      <c r="B57" s="197"/>
      <c r="C57" s="147" t="s">
        <v>238</v>
      </c>
      <c r="D57" s="197"/>
      <c r="E57" s="147" t="s">
        <v>253</v>
      </c>
      <c r="F57" s="147" t="s">
        <v>94</v>
      </c>
      <c r="G57" s="150" t="s">
        <v>116</v>
      </c>
      <c r="H57" s="147" t="s">
        <v>212</v>
      </c>
      <c r="I57" s="142"/>
      <c r="J57" s="164"/>
      <c r="K57" s="164"/>
      <c r="L57" s="164"/>
      <c r="M57" s="142"/>
      <c r="P57" s="130"/>
      <c r="Q57" s="130"/>
      <c r="R57" s="130"/>
      <c r="S57" s="130"/>
      <c r="T57" s="130"/>
    </row>
    <row r="58" spans="1:20" s="129" customFormat="1" ht="16.149999999999999" customHeight="1" outlineLevel="1" x14ac:dyDescent="0.25">
      <c r="A58" s="133"/>
      <c r="B58" s="148" t="s">
        <v>254</v>
      </c>
      <c r="C58" s="156">
        <v>1.46</v>
      </c>
      <c r="D58" s="148">
        <f>0.28+0.28+0.21+0.21</f>
        <v>0.98</v>
      </c>
      <c r="E58" s="148">
        <v>11.3</v>
      </c>
      <c r="F58" s="148">
        <f>D58*E58+2*C58</f>
        <v>13.994</v>
      </c>
      <c r="G58" s="148">
        <f>C58*E58-H52</f>
        <v>8.958000000000002</v>
      </c>
      <c r="H58" s="148">
        <v>892</v>
      </c>
      <c r="I58" s="142"/>
      <c r="J58" s="198">
        <f>'PLANILHA ORÇAMENTÁRIA'!H97</f>
        <v>0</v>
      </c>
      <c r="K58" s="198"/>
      <c r="L58" s="198"/>
      <c r="M58" s="142"/>
      <c r="P58" s="130"/>
      <c r="Q58" s="130"/>
      <c r="R58" s="130"/>
      <c r="S58" s="130"/>
      <c r="T58" s="130"/>
    </row>
    <row r="59" spans="1:20" s="129" customFormat="1" ht="17.25" outlineLevel="1" x14ac:dyDescent="0.25">
      <c r="A59" s="133"/>
      <c r="B59" s="141"/>
      <c r="C59" s="141"/>
      <c r="D59" s="141"/>
      <c r="E59" s="153" t="s">
        <v>72</v>
      </c>
      <c r="F59" s="153">
        <f>ROUND(SUM(F58),2)</f>
        <v>13.99</v>
      </c>
      <c r="G59" s="153">
        <f t="shared" ref="G59:H59" si="4">ROUND(SUM(G58),2)</f>
        <v>8.9600000000000009</v>
      </c>
      <c r="H59" s="153">
        <f t="shared" si="4"/>
        <v>892</v>
      </c>
      <c r="I59" s="142"/>
      <c r="J59" s="142"/>
      <c r="K59" s="142"/>
      <c r="L59" s="142"/>
      <c r="M59" s="142"/>
      <c r="P59" s="130"/>
      <c r="Q59" s="130"/>
      <c r="R59" s="130"/>
      <c r="S59" s="130"/>
      <c r="T59" s="130"/>
    </row>
    <row r="60" spans="1:20" s="129" customFormat="1" x14ac:dyDescent="0.25">
      <c r="A60" s="133"/>
      <c r="B60" s="141"/>
      <c r="C60" s="141"/>
      <c r="D60" s="141"/>
      <c r="E60" s="141"/>
      <c r="F60" s="141"/>
      <c r="G60" s="142"/>
      <c r="H60" s="141"/>
      <c r="I60" s="141"/>
      <c r="J60" s="142"/>
      <c r="K60" s="141"/>
      <c r="L60" s="141"/>
      <c r="M60" s="142"/>
      <c r="P60" s="130"/>
      <c r="Q60" s="130"/>
      <c r="R60" s="130"/>
      <c r="S60" s="130"/>
      <c r="T60" s="130"/>
    </row>
  </sheetData>
  <mergeCells count="15">
    <mergeCell ref="B7:M7"/>
    <mergeCell ref="B13:B14"/>
    <mergeCell ref="B2:M2"/>
    <mergeCell ref="C38:D38"/>
    <mergeCell ref="B40:B41"/>
    <mergeCell ref="B22:B23"/>
    <mergeCell ref="B29:B30"/>
    <mergeCell ref="D29:D30"/>
    <mergeCell ref="J58:L58"/>
    <mergeCell ref="B49:B50"/>
    <mergeCell ref="D49:D50"/>
    <mergeCell ref="F49:F50"/>
    <mergeCell ref="B56:B57"/>
    <mergeCell ref="D56:D57"/>
    <mergeCell ref="F29:F30"/>
  </mergeCells>
  <pageMargins left="0.51181102362204722" right="0.51181102362204722" top="0.78740157480314965" bottom="0.78740157480314965" header="0.31496062992125984" footer="0.31496062992125984"/>
  <pageSetup paperSize="9" scale="58" fitToHeight="5" orientation="landscape" r:id="rId1"/>
  <rowBreaks count="1" manualBreakCount="1">
    <brk id="44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B1:D19"/>
  <sheetViews>
    <sheetView showGridLines="0" view="pageBreakPreview" zoomScaleNormal="145" zoomScaleSheetLayoutView="100" workbookViewId="0">
      <selection activeCell="C23" sqref="C23"/>
    </sheetView>
  </sheetViews>
  <sheetFormatPr defaultRowHeight="15" x14ac:dyDescent="0.25"/>
  <cols>
    <col min="1" max="1" width="2.5703125" customWidth="1"/>
    <col min="2" max="2" width="40.85546875" customWidth="1"/>
    <col min="3" max="3" width="16.140625" customWidth="1"/>
    <col min="4" max="4" width="12.5703125" customWidth="1"/>
    <col min="5" max="5" width="2.28515625" customWidth="1"/>
  </cols>
  <sheetData>
    <row r="1" spans="2:4" x14ac:dyDescent="0.25">
      <c r="B1" s="205"/>
      <c r="C1" s="206"/>
      <c r="D1" s="1"/>
    </row>
    <row r="2" spans="2:4" x14ac:dyDescent="0.25">
      <c r="B2" s="207" t="str">
        <f>'PLANILHA ORÇAMENTÁRIA'!B4</f>
        <v>PREFEITURA MUNICIPAL DE CACIQUE DOBLE/RS</v>
      </c>
      <c r="C2" s="208"/>
      <c r="D2" s="209"/>
    </row>
    <row r="3" spans="2:4" x14ac:dyDescent="0.25">
      <c r="B3" s="210" t="str">
        <f>'PLANILHA ORÇAMENTÁRIA'!B5</f>
        <v>CONSTRUÇÃO DE PONTE EM CONCRETO ARMADO PROTENDIDO</v>
      </c>
      <c r="C3" s="211"/>
      <c r="D3" s="212"/>
    </row>
    <row r="4" spans="2:4" x14ac:dyDescent="0.25">
      <c r="B4" s="210"/>
      <c r="C4" s="211"/>
      <c r="D4" s="212"/>
    </row>
    <row r="5" spans="2:4" x14ac:dyDescent="0.25">
      <c r="B5" s="2"/>
      <c r="C5" s="3"/>
      <c r="D5" s="4"/>
    </row>
    <row r="6" spans="2:4" x14ac:dyDescent="0.25">
      <c r="B6" s="213" t="s">
        <v>0</v>
      </c>
      <c r="C6" s="214"/>
      <c r="D6" s="215"/>
    </row>
    <row r="7" spans="2:4" x14ac:dyDescent="0.25">
      <c r="B7" s="216"/>
      <c r="C7" s="217"/>
      <c r="D7" s="5"/>
    </row>
    <row r="8" spans="2:4" x14ac:dyDescent="0.25">
      <c r="B8" s="6" t="s">
        <v>1</v>
      </c>
      <c r="C8" s="6" t="s">
        <v>2</v>
      </c>
      <c r="D8" s="7" t="s">
        <v>3</v>
      </c>
    </row>
    <row r="9" spans="2:4" x14ac:dyDescent="0.25">
      <c r="B9" s="8" t="s">
        <v>265</v>
      </c>
      <c r="C9" s="169" t="s">
        <v>4</v>
      </c>
      <c r="D9" s="9">
        <v>67</v>
      </c>
    </row>
    <row r="10" spans="2:4" x14ac:dyDescent="0.25">
      <c r="B10" s="8" t="s">
        <v>266</v>
      </c>
      <c r="C10" s="169" t="s">
        <v>5</v>
      </c>
      <c r="D10" s="9">
        <v>2</v>
      </c>
    </row>
    <row r="11" spans="2:4" x14ac:dyDescent="0.25">
      <c r="B11" s="10"/>
      <c r="C11" s="11"/>
      <c r="D11" s="12"/>
    </row>
    <row r="12" spans="2:4" x14ac:dyDescent="0.25">
      <c r="B12" s="6" t="s">
        <v>6</v>
      </c>
      <c r="C12" s="6" t="s">
        <v>2</v>
      </c>
      <c r="D12" s="7" t="s">
        <v>3</v>
      </c>
    </row>
    <row r="13" spans="2:4" x14ac:dyDescent="0.25">
      <c r="B13" s="8" t="s">
        <v>267</v>
      </c>
      <c r="C13" s="169" t="s">
        <v>4</v>
      </c>
      <c r="D13" s="9">
        <v>240</v>
      </c>
    </row>
    <row r="14" spans="2:4" x14ac:dyDescent="0.25">
      <c r="B14" s="8" t="s">
        <v>266</v>
      </c>
      <c r="C14" s="169" t="s">
        <v>5</v>
      </c>
      <c r="D14" s="9">
        <f>D10</f>
        <v>2</v>
      </c>
    </row>
    <row r="15" spans="2:4" x14ac:dyDescent="0.25">
      <c r="B15" s="13"/>
      <c r="C15" s="13"/>
      <c r="D15" s="13"/>
    </row>
    <row r="16" spans="2:4" x14ac:dyDescent="0.25">
      <c r="B16" s="13"/>
      <c r="C16" s="13"/>
      <c r="D16" s="13"/>
    </row>
    <row r="17" spans="2:4" x14ac:dyDescent="0.25">
      <c r="B17" s="14"/>
      <c r="C17" s="15"/>
      <c r="D17" s="15"/>
    </row>
    <row r="18" spans="2:4" x14ac:dyDescent="0.25">
      <c r="B18" s="14"/>
      <c r="C18" s="189"/>
      <c r="D18" s="189"/>
    </row>
    <row r="19" spans="2:4" x14ac:dyDescent="0.25">
      <c r="B19" s="14"/>
      <c r="C19" s="14"/>
      <c r="D19" s="14"/>
    </row>
  </sheetData>
  <mergeCells count="6">
    <mergeCell ref="C18:D18"/>
    <mergeCell ref="B1:C1"/>
    <mergeCell ref="B2:D2"/>
    <mergeCell ref="B3:D4"/>
    <mergeCell ref="B6:D6"/>
    <mergeCell ref="B7:C7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2"/>
  <dimension ref="B2:I36"/>
  <sheetViews>
    <sheetView showGridLines="0" view="pageBreakPreview" zoomScaleNormal="100" zoomScaleSheetLayoutView="100" workbookViewId="0">
      <selection activeCell="E34" sqref="E34:H34"/>
    </sheetView>
  </sheetViews>
  <sheetFormatPr defaultColWidth="9.28515625" defaultRowHeight="12.75" x14ac:dyDescent="0.25"/>
  <cols>
    <col min="1" max="1" width="3.140625" style="22" customWidth="1"/>
    <col min="2" max="2" width="23" style="22" customWidth="1"/>
    <col min="3" max="3" width="11.42578125" style="22" customWidth="1"/>
    <col min="4" max="5" width="12.7109375" style="22" customWidth="1"/>
    <col min="6" max="6" width="7.42578125" style="22" customWidth="1"/>
    <col min="7" max="9" width="14.7109375" style="22" customWidth="1"/>
    <col min="10" max="16384" width="9.28515625" style="22"/>
  </cols>
  <sheetData>
    <row r="2" spans="2:9" s="16" customFormat="1" ht="30" customHeight="1" x14ac:dyDescent="0.25">
      <c r="B2" s="236" t="s">
        <v>7</v>
      </c>
      <c r="C2" s="237"/>
      <c r="D2" s="237"/>
      <c r="E2" s="237"/>
      <c r="F2" s="237"/>
      <c r="G2" s="237"/>
      <c r="H2" s="237"/>
      <c r="I2" s="238"/>
    </row>
    <row r="3" spans="2:9" x14ac:dyDescent="0.25">
      <c r="B3" s="17" t="s">
        <v>268</v>
      </c>
      <c r="C3" s="18"/>
      <c r="D3" s="19"/>
      <c r="E3" s="19"/>
      <c r="F3" s="19"/>
      <c r="G3" s="19"/>
      <c r="H3" s="20"/>
      <c r="I3" s="21"/>
    </row>
    <row r="4" spans="2:9" ht="27" customHeight="1" x14ac:dyDescent="0.25">
      <c r="B4" s="239" t="s">
        <v>269</v>
      </c>
      <c r="C4" s="240"/>
      <c r="D4" s="240"/>
      <c r="E4" s="240"/>
      <c r="F4" s="240"/>
      <c r="G4" s="240"/>
      <c r="H4" s="240"/>
      <c r="I4" s="241"/>
    </row>
    <row r="5" spans="2:9" x14ac:dyDescent="0.25">
      <c r="B5" s="23" t="s">
        <v>270</v>
      </c>
      <c r="C5" s="16"/>
      <c r="D5" s="24"/>
      <c r="E5" s="16"/>
      <c r="F5" s="16"/>
      <c r="G5" s="16"/>
      <c r="I5" s="25"/>
    </row>
    <row r="6" spans="2:9" x14ac:dyDescent="0.25">
      <c r="B6" s="26" t="s">
        <v>8</v>
      </c>
      <c r="C6" s="27"/>
      <c r="D6" s="28"/>
      <c r="E6" s="28"/>
      <c r="F6" s="27"/>
      <c r="G6" s="27"/>
      <c r="H6" s="29"/>
      <c r="I6" s="30"/>
    </row>
    <row r="7" spans="2:9" ht="3" customHeight="1" x14ac:dyDescent="0.25"/>
    <row r="8" spans="2:9" x14ac:dyDescent="0.25">
      <c r="B8" s="31" t="s">
        <v>9</v>
      </c>
      <c r="C8" s="32"/>
      <c r="D8" s="32"/>
      <c r="E8" s="32"/>
      <c r="F8" s="32"/>
      <c r="G8" s="32"/>
      <c r="H8" s="32"/>
      <c r="I8" s="33">
        <v>1</v>
      </c>
    </row>
    <row r="9" spans="2:9" x14ac:dyDescent="0.25">
      <c r="B9" s="31" t="s">
        <v>10</v>
      </c>
      <c r="C9" s="32"/>
      <c r="D9" s="32"/>
      <c r="E9" s="32"/>
      <c r="F9" s="32"/>
      <c r="G9" s="32"/>
      <c r="H9" s="32"/>
      <c r="I9" s="33">
        <v>0.03</v>
      </c>
    </row>
    <row r="10" spans="2:9" ht="3" customHeight="1" x14ac:dyDescent="0.25"/>
    <row r="11" spans="2:9" ht="27.75" customHeight="1" x14ac:dyDescent="0.25">
      <c r="B11" s="228" t="s">
        <v>11</v>
      </c>
      <c r="C11" s="228"/>
      <c r="D11" s="230" t="s">
        <v>12</v>
      </c>
      <c r="E11" s="230"/>
      <c r="G11" s="242" t="s">
        <v>13</v>
      </c>
      <c r="H11" s="242"/>
      <c r="I11" s="242"/>
    </row>
    <row r="12" spans="2:9" x14ac:dyDescent="0.25">
      <c r="B12" s="228"/>
      <c r="C12" s="228"/>
      <c r="D12" s="230"/>
      <c r="E12" s="230"/>
      <c r="G12" s="34" t="s">
        <v>14</v>
      </c>
      <c r="H12" s="34" t="s">
        <v>15</v>
      </c>
      <c r="I12" s="34" t="s">
        <v>16</v>
      </c>
    </row>
    <row r="13" spans="2:9" x14ac:dyDescent="0.25">
      <c r="B13" s="226" t="s">
        <v>17</v>
      </c>
      <c r="C13" s="226"/>
      <c r="D13" s="227">
        <v>4.1000000000000002E-2</v>
      </c>
      <c r="E13" s="227"/>
      <c r="G13" s="35">
        <v>3.8</v>
      </c>
      <c r="H13" s="35">
        <v>4.01</v>
      </c>
      <c r="I13" s="35">
        <v>4.67</v>
      </c>
    </row>
    <row r="14" spans="2:9" x14ac:dyDescent="0.25">
      <c r="B14" s="226" t="s">
        <v>18</v>
      </c>
      <c r="C14" s="226"/>
      <c r="D14" s="227">
        <v>6.0000000000000001E-3</v>
      </c>
      <c r="E14" s="227"/>
      <c r="G14" s="35">
        <v>0.32</v>
      </c>
      <c r="H14" s="35">
        <v>0.4</v>
      </c>
      <c r="I14" s="35">
        <v>0.74</v>
      </c>
    </row>
    <row r="15" spans="2:9" x14ac:dyDescent="0.25">
      <c r="B15" s="226" t="s">
        <v>19</v>
      </c>
      <c r="C15" s="226"/>
      <c r="D15" s="227">
        <v>5.0000000000000001E-3</v>
      </c>
      <c r="E15" s="227"/>
      <c r="G15" s="35">
        <v>0.5</v>
      </c>
      <c r="H15" s="35">
        <v>0.56000000000000005</v>
      </c>
      <c r="I15" s="35">
        <v>0.97</v>
      </c>
    </row>
    <row r="16" spans="2:9" x14ac:dyDescent="0.25">
      <c r="B16" s="226" t="s">
        <v>20</v>
      </c>
      <c r="C16" s="226"/>
      <c r="D16" s="227">
        <v>1.12E-2</v>
      </c>
      <c r="E16" s="227"/>
      <c r="G16" s="35">
        <v>1.02</v>
      </c>
      <c r="H16" s="35">
        <v>1.1100000000000001</v>
      </c>
      <c r="I16" s="35">
        <v>1.21</v>
      </c>
    </row>
    <row r="17" spans="2:9" x14ac:dyDescent="0.25">
      <c r="B17" s="226" t="s">
        <v>21</v>
      </c>
      <c r="C17" s="226"/>
      <c r="D17" s="227">
        <v>7.4999999999999997E-2</v>
      </c>
      <c r="E17" s="227"/>
      <c r="G17" s="35">
        <v>6.64</v>
      </c>
      <c r="H17" s="35">
        <v>7.3</v>
      </c>
      <c r="I17" s="35">
        <v>8.69</v>
      </c>
    </row>
    <row r="18" spans="2:9" x14ac:dyDescent="0.25">
      <c r="B18" s="226" t="s">
        <v>22</v>
      </c>
      <c r="C18" s="226"/>
      <c r="D18" s="227">
        <v>6.4999999999999997E-3</v>
      </c>
      <c r="E18" s="227"/>
      <c r="G18" s="35">
        <v>0.65</v>
      </c>
      <c r="H18" s="35">
        <v>0.65</v>
      </c>
      <c r="I18" s="35">
        <v>0.65</v>
      </c>
    </row>
    <row r="19" spans="2:9" x14ac:dyDescent="0.25">
      <c r="B19" s="226" t="s">
        <v>23</v>
      </c>
      <c r="C19" s="226"/>
      <c r="D19" s="227">
        <v>0.03</v>
      </c>
      <c r="E19" s="227"/>
      <c r="G19" s="35">
        <v>3</v>
      </c>
      <c r="H19" s="35">
        <v>3</v>
      </c>
      <c r="I19" s="35">
        <v>3</v>
      </c>
    </row>
    <row r="20" spans="2:9" x14ac:dyDescent="0.25">
      <c r="B20" s="226" t="s">
        <v>24</v>
      </c>
      <c r="C20" s="226"/>
      <c r="D20" s="227">
        <f>I9*I8</f>
        <v>0.03</v>
      </c>
      <c r="E20" s="227"/>
      <c r="G20" s="35">
        <v>2</v>
      </c>
      <c r="H20" s="35">
        <v>2</v>
      </c>
      <c r="I20" s="35">
        <v>5</v>
      </c>
    </row>
    <row r="21" spans="2:9" x14ac:dyDescent="0.25">
      <c r="B21" s="226" t="s">
        <v>25</v>
      </c>
      <c r="C21" s="226"/>
      <c r="D21" s="227">
        <v>0</v>
      </c>
      <c r="E21" s="227"/>
    </row>
    <row r="22" spans="2:9" ht="26.25" customHeight="1" x14ac:dyDescent="0.25">
      <c r="B22" s="228" t="s">
        <v>26</v>
      </c>
      <c r="C22" s="228"/>
      <c r="D22" s="229">
        <f>ROUND((((1+D13+D14+D15)*(1+D16)*(1+D17))/(1-D18-D19-D20-D21))-1,4)</f>
        <v>0.22500000000000001</v>
      </c>
      <c r="E22" s="229"/>
    </row>
    <row r="23" spans="2:9" x14ac:dyDescent="0.25">
      <c r="D23" s="36"/>
    </row>
    <row r="24" spans="2:9" ht="42" customHeight="1" x14ac:dyDescent="0.25">
      <c r="B24" s="230" t="s">
        <v>27</v>
      </c>
      <c r="C24" s="230"/>
      <c r="D24" s="230"/>
      <c r="E24" s="230"/>
      <c r="F24" s="37"/>
      <c r="G24" s="230" t="s">
        <v>13</v>
      </c>
      <c r="H24" s="230"/>
      <c r="I24" s="230"/>
    </row>
    <row r="25" spans="2:9" ht="29.25" customHeight="1" x14ac:dyDescent="0.25">
      <c r="B25" s="231" t="s">
        <v>28</v>
      </c>
      <c r="C25" s="231"/>
      <c r="D25" s="232">
        <f>ROUND((((1+D13+D14+D15)*(1+D16)*(1+D17))/(1-D18-D19-D20))-1,4)</f>
        <v>0.22500000000000001</v>
      </c>
      <c r="E25" s="232"/>
      <c r="G25" s="38">
        <v>19.600000000000001</v>
      </c>
      <c r="H25" s="38">
        <v>20.97</v>
      </c>
      <c r="I25" s="38">
        <v>24.23</v>
      </c>
    </row>
    <row r="27" spans="2:9" ht="20.25" customHeight="1" x14ac:dyDescent="0.25">
      <c r="B27" s="39" t="s">
        <v>29</v>
      </c>
    </row>
    <row r="28" spans="2:9" ht="39.75" customHeight="1" x14ac:dyDescent="0.25">
      <c r="B28" s="233" t="s">
        <v>271</v>
      </c>
      <c r="C28" s="234"/>
      <c r="D28" s="234"/>
      <c r="E28" s="234"/>
      <c r="F28" s="234"/>
      <c r="G28" s="234"/>
      <c r="H28" s="234"/>
      <c r="I28" s="235"/>
    </row>
    <row r="29" spans="2:9" ht="39.75" customHeight="1" x14ac:dyDescent="0.25">
      <c r="B29" s="223" t="s">
        <v>30</v>
      </c>
      <c r="C29" s="224"/>
      <c r="D29" s="224"/>
      <c r="E29" s="224"/>
      <c r="F29" s="224"/>
      <c r="G29" s="224"/>
      <c r="H29" s="224"/>
      <c r="I29" s="225"/>
    </row>
    <row r="30" spans="2:9" ht="39.75" customHeight="1" x14ac:dyDescent="0.25">
      <c r="B30" s="218" t="s">
        <v>272</v>
      </c>
      <c r="C30" s="219"/>
      <c r="D30" s="219"/>
      <c r="E30" s="219"/>
      <c r="F30" s="219"/>
      <c r="G30" s="219"/>
      <c r="H30" s="219"/>
      <c r="I30" s="220"/>
    </row>
    <row r="33" spans="5:8" x14ac:dyDescent="0.25">
      <c r="E33" s="222"/>
      <c r="F33" s="222"/>
      <c r="G33" s="222"/>
      <c r="H33" s="222"/>
    </row>
    <row r="34" spans="5:8" ht="14.45" customHeight="1" x14ac:dyDescent="0.25">
      <c r="E34" s="221"/>
      <c r="F34" s="221"/>
      <c r="G34" s="221"/>
      <c r="H34" s="221"/>
    </row>
    <row r="35" spans="5:8" x14ac:dyDescent="0.25">
      <c r="F35" s="221"/>
      <c r="G35" s="221"/>
      <c r="H35" s="221"/>
    </row>
    <row r="36" spans="5:8" x14ac:dyDescent="0.25">
      <c r="F36" s="221"/>
      <c r="G36" s="221"/>
      <c r="H36" s="221"/>
    </row>
  </sheetData>
  <mergeCells count="36">
    <mergeCell ref="B13:C13"/>
    <mergeCell ref="D13:E13"/>
    <mergeCell ref="B2:I2"/>
    <mergeCell ref="B4:I4"/>
    <mergeCell ref="B11:C12"/>
    <mergeCell ref="D11:E12"/>
    <mergeCell ref="G11:I11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9:I29"/>
    <mergeCell ref="B20:C20"/>
    <mergeCell ref="D20:E20"/>
    <mergeCell ref="B21:C21"/>
    <mergeCell ref="D21:E21"/>
    <mergeCell ref="B22:C22"/>
    <mergeCell ref="D22:E22"/>
    <mergeCell ref="B24:E24"/>
    <mergeCell ref="G24:I24"/>
    <mergeCell ref="B25:C25"/>
    <mergeCell ref="D25:E25"/>
    <mergeCell ref="B28:I28"/>
    <mergeCell ref="B30:I30"/>
    <mergeCell ref="F35:H35"/>
    <mergeCell ref="F36:H36"/>
    <mergeCell ref="E34:H34"/>
    <mergeCell ref="E33:H3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85" orientation="portrait" r:id="rId1"/>
  <colBreaks count="1" manualBreakCount="1">
    <brk id="9" max="3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3">
    <pageSetUpPr fitToPage="1"/>
  </sheetPr>
  <dimension ref="A3:I25"/>
  <sheetViews>
    <sheetView view="pageBreakPreview" zoomScaleNormal="100" zoomScaleSheetLayoutView="100" workbookViewId="0">
      <selection activeCell="F12" sqref="F12:F16"/>
    </sheetView>
  </sheetViews>
  <sheetFormatPr defaultColWidth="9.140625" defaultRowHeight="14.25" x14ac:dyDescent="0.2"/>
  <cols>
    <col min="1" max="1" width="18.28515625" style="11" bestFit="1" customWidth="1"/>
    <col min="2" max="2" width="13.28515625" style="11" customWidth="1"/>
    <col min="3" max="3" width="70.5703125" style="11" bestFit="1" customWidth="1"/>
    <col min="4" max="4" width="14.42578125" style="11" bestFit="1" customWidth="1"/>
    <col min="5" max="5" width="13.28515625" style="11" bestFit="1" customWidth="1"/>
    <col min="6" max="6" width="16.7109375" style="11" bestFit="1" customWidth="1"/>
    <col min="7" max="7" width="14.28515625" style="11" bestFit="1" customWidth="1"/>
    <col min="8" max="8" width="16.7109375" style="11" bestFit="1" customWidth="1"/>
    <col min="9" max="9" width="13.28515625" style="11" bestFit="1" customWidth="1"/>
    <col min="10" max="16384" width="9.140625" style="11"/>
  </cols>
  <sheetData>
    <row r="3" spans="1:7" ht="15" x14ac:dyDescent="0.25">
      <c r="A3" s="243" t="s">
        <v>31</v>
      </c>
      <c r="B3" s="244"/>
      <c r="C3" s="244"/>
      <c r="D3" s="244"/>
      <c r="E3" s="244"/>
      <c r="F3" s="244"/>
      <c r="G3" s="245"/>
    </row>
    <row r="5" spans="1:7" ht="15" x14ac:dyDescent="0.25">
      <c r="A5" s="40" t="s">
        <v>262</v>
      </c>
    </row>
    <row r="6" spans="1:7" ht="15" x14ac:dyDescent="0.25">
      <c r="A6" s="40" t="s">
        <v>273</v>
      </c>
    </row>
    <row r="8" spans="1:7" ht="15" x14ac:dyDescent="0.25">
      <c r="A8" s="205" t="s">
        <v>32</v>
      </c>
      <c r="B8" s="206"/>
      <c r="C8" s="41" t="s">
        <v>33</v>
      </c>
      <c r="D8" s="42" t="s">
        <v>34</v>
      </c>
      <c r="E8" s="43">
        <v>45658</v>
      </c>
      <c r="F8" s="44"/>
      <c r="G8" s="45"/>
    </row>
    <row r="9" spans="1:7" ht="15" x14ac:dyDescent="0.25">
      <c r="A9" s="246" t="s">
        <v>35</v>
      </c>
      <c r="B9" s="247"/>
      <c r="C9" s="46" t="s">
        <v>257</v>
      </c>
      <c r="D9" s="40" t="s">
        <v>36</v>
      </c>
      <c r="G9" s="12"/>
    </row>
    <row r="10" spans="1:7" x14ac:dyDescent="0.2">
      <c r="A10" s="216" t="s">
        <v>37</v>
      </c>
      <c r="B10" s="217"/>
      <c r="C10" s="47" t="s">
        <v>38</v>
      </c>
      <c r="D10" s="47"/>
      <c r="E10" s="48"/>
      <c r="F10" s="48"/>
      <c r="G10" s="49"/>
    </row>
    <row r="11" spans="1:7" s="40" customFormat="1" ht="15" x14ac:dyDescent="0.25">
      <c r="A11" s="6" t="s">
        <v>39</v>
      </c>
      <c r="B11" s="6" t="s">
        <v>40</v>
      </c>
      <c r="C11" s="6" t="s">
        <v>41</v>
      </c>
      <c r="D11" s="6" t="s">
        <v>42</v>
      </c>
      <c r="E11" s="6" t="s">
        <v>43</v>
      </c>
      <c r="F11" s="6" t="s">
        <v>44</v>
      </c>
      <c r="G11" s="6" t="s">
        <v>45</v>
      </c>
    </row>
    <row r="12" spans="1:7" s="53" customFormat="1" ht="30" customHeight="1" x14ac:dyDescent="0.25">
      <c r="A12" s="8" t="s">
        <v>46</v>
      </c>
      <c r="B12" s="8">
        <v>88262</v>
      </c>
      <c r="C12" s="50" t="s">
        <v>169</v>
      </c>
      <c r="D12" s="8" t="s">
        <v>174</v>
      </c>
      <c r="E12" s="51">
        <v>3</v>
      </c>
      <c r="F12" s="52"/>
      <c r="G12" s="52">
        <f>ROUND(E12*F12,2)</f>
        <v>0</v>
      </c>
    </row>
    <row r="13" spans="1:7" s="53" customFormat="1" ht="30" customHeight="1" x14ac:dyDescent="0.25">
      <c r="A13" s="8" t="s">
        <v>46</v>
      </c>
      <c r="B13" s="8">
        <v>88316</v>
      </c>
      <c r="C13" s="50" t="s">
        <v>170</v>
      </c>
      <c r="D13" s="8" t="s">
        <v>174</v>
      </c>
      <c r="E13" s="51">
        <v>3</v>
      </c>
      <c r="F13" s="52"/>
      <c r="G13" s="52">
        <f t="shared" ref="G13:G16" si="0">ROUND(E13*F13,2)</f>
        <v>0</v>
      </c>
    </row>
    <row r="14" spans="1:7" s="53" customFormat="1" ht="30" customHeight="1" x14ac:dyDescent="0.25">
      <c r="A14" s="8" t="s">
        <v>47</v>
      </c>
      <c r="B14" s="8">
        <v>2745</v>
      </c>
      <c r="C14" s="50" t="s">
        <v>171</v>
      </c>
      <c r="D14" s="8" t="s">
        <v>175</v>
      </c>
      <c r="E14" s="51">
        <v>0.6</v>
      </c>
      <c r="F14" s="52"/>
      <c r="G14" s="52">
        <f t="shared" si="0"/>
        <v>0</v>
      </c>
    </row>
    <row r="15" spans="1:7" s="53" customFormat="1" ht="30" customHeight="1" x14ac:dyDescent="0.25">
      <c r="A15" s="8" t="s">
        <v>47</v>
      </c>
      <c r="B15" s="8">
        <v>4472</v>
      </c>
      <c r="C15" s="50" t="s">
        <v>172</v>
      </c>
      <c r="D15" s="8" t="s">
        <v>175</v>
      </c>
      <c r="E15" s="51">
        <f>6.37/2</f>
        <v>3.1850000000000001</v>
      </c>
      <c r="F15" s="52"/>
      <c r="G15" s="52">
        <f t="shared" si="0"/>
        <v>0</v>
      </c>
    </row>
    <row r="16" spans="1:7" s="53" customFormat="1" ht="30" customHeight="1" x14ac:dyDescent="0.25">
      <c r="A16" s="8" t="s">
        <v>47</v>
      </c>
      <c r="B16" s="8">
        <v>5069</v>
      </c>
      <c r="C16" s="50" t="s">
        <v>173</v>
      </c>
      <c r="D16" s="8" t="s">
        <v>176</v>
      </c>
      <c r="E16" s="51">
        <v>0.2</v>
      </c>
      <c r="F16" s="52"/>
      <c r="G16" s="52">
        <f t="shared" si="0"/>
        <v>0</v>
      </c>
    </row>
    <row r="17" spans="1:9" ht="15" x14ac:dyDescent="0.25">
      <c r="F17" s="54" t="s">
        <v>48</v>
      </c>
      <c r="G17" s="55">
        <f>SUM(G12:G16)</f>
        <v>0</v>
      </c>
    </row>
    <row r="18" spans="1:9" x14ac:dyDescent="0.2">
      <c r="A18" s="13"/>
      <c r="B18" s="13"/>
      <c r="C18" s="13"/>
      <c r="D18" s="13"/>
      <c r="E18" s="13"/>
      <c r="F18" s="13"/>
      <c r="G18" s="56"/>
      <c r="H18" s="56"/>
      <c r="I18" s="56"/>
    </row>
    <row r="19" spans="1:9" x14ac:dyDescent="0.2">
      <c r="A19" s="13"/>
      <c r="B19" s="13"/>
      <c r="C19" s="13"/>
      <c r="D19" s="13"/>
      <c r="E19" s="13"/>
      <c r="F19" s="13"/>
      <c r="G19" s="56"/>
      <c r="H19" s="56"/>
      <c r="I19" s="56"/>
    </row>
    <row r="20" spans="1:9" x14ac:dyDescent="0.2">
      <c r="A20" s="13"/>
      <c r="B20" s="13"/>
      <c r="C20" s="13"/>
      <c r="D20" s="13"/>
      <c r="E20" s="13"/>
      <c r="F20" s="13"/>
      <c r="G20" s="56"/>
      <c r="H20" s="56"/>
      <c r="I20" s="56"/>
    </row>
    <row r="21" spans="1:9" x14ac:dyDescent="0.2">
      <c r="A21" s="13"/>
      <c r="B21" s="13"/>
      <c r="C21" s="13"/>
      <c r="D21" s="57"/>
      <c r="E21" s="57"/>
      <c r="F21" s="57"/>
      <c r="G21" s="56"/>
      <c r="H21" s="56"/>
      <c r="I21" s="56"/>
    </row>
    <row r="22" spans="1:9" x14ac:dyDescent="0.2">
      <c r="A22" s="13"/>
      <c r="B22" s="13"/>
      <c r="C22" s="13"/>
      <c r="D22" s="189"/>
      <c r="E22" s="189"/>
      <c r="F22" s="189"/>
      <c r="G22" s="56"/>
      <c r="H22" s="56"/>
      <c r="I22" s="56"/>
    </row>
    <row r="23" spans="1:9" x14ac:dyDescent="0.2">
      <c r="A23" s="13"/>
      <c r="B23" s="13"/>
      <c r="C23" s="13"/>
      <c r="D23" s="189"/>
      <c r="E23" s="189"/>
      <c r="F23" s="189"/>
      <c r="G23" s="56"/>
      <c r="H23" s="56"/>
      <c r="I23" s="56"/>
    </row>
    <row r="24" spans="1:9" x14ac:dyDescent="0.2">
      <c r="A24" s="13"/>
      <c r="B24" s="13"/>
      <c r="C24" s="13"/>
      <c r="D24" s="189"/>
      <c r="E24" s="189"/>
      <c r="F24" s="189"/>
      <c r="G24" s="56"/>
      <c r="H24" s="56"/>
      <c r="I24" s="56"/>
    </row>
    <row r="25" spans="1:9" x14ac:dyDescent="0.2">
      <c r="A25" s="13"/>
      <c r="B25" s="13"/>
      <c r="C25" s="13"/>
      <c r="D25" s="13"/>
      <c r="E25" s="13"/>
      <c r="F25" s="13"/>
      <c r="G25" s="56"/>
      <c r="H25" s="56"/>
      <c r="I25" s="56"/>
    </row>
  </sheetData>
  <mergeCells count="7">
    <mergeCell ref="D24:F24"/>
    <mergeCell ref="A3:G3"/>
    <mergeCell ref="A8:B8"/>
    <mergeCell ref="A9:B9"/>
    <mergeCell ref="A10:B10"/>
    <mergeCell ref="D22:F22"/>
    <mergeCell ref="D23:F23"/>
  </mergeCells>
  <pageMargins left="0.51181102362204722" right="0.51181102362204722" top="0.78740157480314965" bottom="0.78740157480314965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5">
    <pageSetUpPr fitToPage="1"/>
  </sheetPr>
  <dimension ref="B1:K22"/>
  <sheetViews>
    <sheetView view="pageBreakPreview" zoomScaleNormal="100" zoomScaleSheetLayoutView="100" workbookViewId="0">
      <selection activeCell="E31" sqref="E31"/>
    </sheetView>
  </sheetViews>
  <sheetFormatPr defaultColWidth="9.140625" defaultRowHeight="14.25" x14ac:dyDescent="0.2"/>
  <cols>
    <col min="1" max="1" width="5" style="11" customWidth="1"/>
    <col min="2" max="2" width="9.28515625" style="11" bestFit="1" customWidth="1"/>
    <col min="3" max="3" width="55.28515625" style="11" customWidth="1"/>
    <col min="4" max="4" width="12.28515625" style="11" bestFit="1" customWidth="1"/>
    <col min="5" max="6" width="12.140625" style="78" bestFit="1" customWidth="1"/>
    <col min="7" max="7" width="12.28515625" style="78" bestFit="1" customWidth="1"/>
    <col min="8" max="8" width="9.140625" style="11"/>
    <col min="9" max="11" width="4.5703125" style="138" bestFit="1" customWidth="1"/>
    <col min="12" max="16384" width="9.140625" style="11"/>
  </cols>
  <sheetData>
    <row r="1" spans="2:11" x14ac:dyDescent="0.2">
      <c r="B1" s="248"/>
      <c r="C1" s="248"/>
      <c r="D1" s="248"/>
      <c r="E1" s="248"/>
      <c r="F1" s="248"/>
      <c r="G1" s="248"/>
    </row>
    <row r="2" spans="2:11" x14ac:dyDescent="0.2">
      <c r="B2" s="249" t="s">
        <v>51</v>
      </c>
      <c r="C2" s="250"/>
      <c r="D2" s="250"/>
      <c r="E2" s="250"/>
      <c r="F2" s="250"/>
      <c r="G2" s="251"/>
    </row>
    <row r="3" spans="2:11" x14ac:dyDescent="0.2">
      <c r="B3" s="69"/>
      <c r="C3" s="69"/>
      <c r="D3" s="69"/>
      <c r="E3" s="69"/>
      <c r="F3" s="69"/>
      <c r="G3" s="69"/>
    </row>
    <row r="4" spans="2:11" x14ac:dyDescent="0.2">
      <c r="B4" s="252" t="str">
        <f>'PLANILHA ORÇAMENTÁRIA'!B4</f>
        <v>PREFEITURA MUNICIPAL DE CACIQUE DOBLE/RS</v>
      </c>
      <c r="C4" s="252"/>
      <c r="D4" s="252"/>
      <c r="E4" s="252"/>
      <c r="F4" s="252"/>
      <c r="G4" s="252"/>
    </row>
    <row r="5" spans="2:11" ht="34.9" customHeight="1" x14ac:dyDescent="0.2">
      <c r="B5" s="253" t="str">
        <f>'PLANILHA ORÇAMENTÁRIA'!B5</f>
        <v>CONSTRUÇÃO DE PONTE EM CONCRETO ARMADO PROTENDIDO</v>
      </c>
      <c r="C5" s="253"/>
      <c r="D5" s="253"/>
      <c r="E5" s="253"/>
      <c r="F5" s="253"/>
      <c r="G5" s="253"/>
    </row>
    <row r="6" spans="2:11" x14ac:dyDescent="0.2">
      <c r="B6" s="254" t="s">
        <v>52</v>
      </c>
      <c r="C6" s="254"/>
      <c r="D6" s="254"/>
      <c r="E6" s="254"/>
      <c r="F6" s="254"/>
      <c r="G6" s="254"/>
    </row>
    <row r="7" spans="2:11" x14ac:dyDescent="0.2">
      <c r="B7" s="255" t="s">
        <v>262</v>
      </c>
      <c r="C7" s="255"/>
      <c r="D7" s="255"/>
      <c r="E7" s="255"/>
      <c r="F7" s="255"/>
      <c r="G7" s="255"/>
    </row>
    <row r="8" spans="2:11" x14ac:dyDescent="0.2">
      <c r="B8" s="256" t="str">
        <f>'PLANILHA ORÇAMENTÁRIA'!C8</f>
        <v>PONTE CACIQUE DOBLE - 11,30M DE COMPRIMENTO X 6,00M DE LARGURA E 5,21M DE ALTURA</v>
      </c>
      <c r="C8" s="257"/>
      <c r="D8" s="257"/>
      <c r="E8" s="257"/>
      <c r="F8" s="257"/>
      <c r="G8" s="257"/>
    </row>
    <row r="9" spans="2:11" s="61" customFormat="1" x14ac:dyDescent="0.2">
      <c r="B9" s="58" t="s">
        <v>53</v>
      </c>
      <c r="C9" s="59" t="s">
        <v>49</v>
      </c>
      <c r="D9" s="60" t="s">
        <v>50</v>
      </c>
      <c r="E9" s="70" t="s">
        <v>54</v>
      </c>
      <c r="F9" s="70" t="s">
        <v>55</v>
      </c>
      <c r="G9" s="70" t="s">
        <v>56</v>
      </c>
      <c r="I9" s="138"/>
      <c r="J9" s="138"/>
      <c r="K9" s="138"/>
    </row>
    <row r="10" spans="2:11" s="61" customFormat="1" x14ac:dyDescent="0.2">
      <c r="B10" s="62">
        <v>1</v>
      </c>
      <c r="C10" s="71" t="str">
        <f>'PLANILHA ORÇAMENTÁRIA'!E9</f>
        <v>SERVIÇOS TÉCNICOS</v>
      </c>
      <c r="D10" s="63">
        <f>'PLANILHA ORÇAMENTÁRIA'!J9</f>
        <v>0</v>
      </c>
      <c r="E10" s="72">
        <f t="shared" ref="E10:E15" si="0">D10*I10</f>
        <v>0</v>
      </c>
      <c r="F10" s="72">
        <f t="shared" ref="F10:F15" si="1">D10*J10</f>
        <v>0</v>
      </c>
      <c r="G10" s="72">
        <f t="shared" ref="G10:G15" si="2">D10*K10</f>
        <v>0</v>
      </c>
      <c r="I10" s="138">
        <f t="shared" ref="I10:K11" si="3">1/3</f>
        <v>0.33333333333333331</v>
      </c>
      <c r="J10" s="138">
        <f t="shared" si="3"/>
        <v>0.33333333333333331</v>
      </c>
      <c r="K10" s="138">
        <f t="shared" si="3"/>
        <v>0.33333333333333331</v>
      </c>
    </row>
    <row r="11" spans="2:11" s="53" customFormat="1" x14ac:dyDescent="0.2">
      <c r="B11" s="64">
        <v>2</v>
      </c>
      <c r="C11" s="71" t="str">
        <f>'PLANILHA ORÇAMENTÁRIA'!E12</f>
        <v>SERVIÇOS INICIAIS</v>
      </c>
      <c r="D11" s="63">
        <f>'PLANILHA ORÇAMENTÁRIA'!J12</f>
        <v>0</v>
      </c>
      <c r="E11" s="72">
        <f t="shared" si="0"/>
        <v>0</v>
      </c>
      <c r="F11" s="72">
        <f t="shared" si="1"/>
        <v>0</v>
      </c>
      <c r="G11" s="72">
        <f t="shared" si="2"/>
        <v>0</v>
      </c>
      <c r="H11" s="65"/>
      <c r="I11" s="138">
        <f t="shared" si="3"/>
        <v>0.33333333333333331</v>
      </c>
      <c r="J11" s="138">
        <f t="shared" si="3"/>
        <v>0.33333333333333331</v>
      </c>
      <c r="K11" s="138">
        <f t="shared" si="3"/>
        <v>0.33333333333333331</v>
      </c>
    </row>
    <row r="12" spans="2:11" s="53" customFormat="1" x14ac:dyDescent="0.25">
      <c r="B12" s="64">
        <v>3</v>
      </c>
      <c r="C12" s="71" t="str">
        <f>'PLANILHA ORÇAMENTÁRIA'!E17</f>
        <v>INFRAESTRUTURA</v>
      </c>
      <c r="D12" s="63">
        <f>'PLANILHA ORÇAMENTÁRIA'!J17</f>
        <v>0</v>
      </c>
      <c r="E12" s="72">
        <f t="shared" si="0"/>
        <v>0</v>
      </c>
      <c r="F12" s="72">
        <f t="shared" si="1"/>
        <v>0</v>
      </c>
      <c r="G12" s="72">
        <f t="shared" si="2"/>
        <v>0</v>
      </c>
      <c r="H12" s="65"/>
      <c r="I12" s="139">
        <v>1</v>
      </c>
      <c r="J12" s="139">
        <v>0</v>
      </c>
      <c r="K12" s="139">
        <v>0</v>
      </c>
    </row>
    <row r="13" spans="2:11" s="53" customFormat="1" x14ac:dyDescent="0.25">
      <c r="B13" s="64">
        <v>4</v>
      </c>
      <c r="C13" s="73" t="str">
        <f>'PLANILHA ORÇAMENTÁRIA'!E34</f>
        <v>MESOESTRUTURA</v>
      </c>
      <c r="D13" s="63">
        <f>'PLANILHA ORÇAMENTÁRIA'!J34</f>
        <v>0</v>
      </c>
      <c r="E13" s="72">
        <f t="shared" si="0"/>
        <v>0</v>
      </c>
      <c r="F13" s="72">
        <f t="shared" si="1"/>
        <v>0</v>
      </c>
      <c r="G13" s="72">
        <f t="shared" si="2"/>
        <v>0</v>
      </c>
      <c r="H13" s="65"/>
      <c r="I13" s="139">
        <v>0.1</v>
      </c>
      <c r="J13" s="139">
        <v>0.9</v>
      </c>
      <c r="K13" s="139">
        <v>0</v>
      </c>
    </row>
    <row r="14" spans="2:11" x14ac:dyDescent="0.2">
      <c r="B14" s="66">
        <v>5</v>
      </c>
      <c r="C14" s="73" t="str">
        <f>'PLANILHA ORÇAMENTÁRIA'!E56</f>
        <v>SUPERESTRUTURA</v>
      </c>
      <c r="D14" s="63">
        <f>'PLANILHA ORÇAMENTÁRIA'!J56</f>
        <v>0</v>
      </c>
      <c r="E14" s="72">
        <f t="shared" si="0"/>
        <v>0</v>
      </c>
      <c r="F14" s="72">
        <f t="shared" si="1"/>
        <v>0</v>
      </c>
      <c r="G14" s="72">
        <f t="shared" si="2"/>
        <v>0</v>
      </c>
      <c r="H14" s="65"/>
      <c r="I14" s="139">
        <v>0.15</v>
      </c>
      <c r="J14" s="139">
        <v>0.35</v>
      </c>
      <c r="K14" s="138">
        <v>0.5</v>
      </c>
    </row>
    <row r="15" spans="2:11" x14ac:dyDescent="0.2">
      <c r="B15" s="66">
        <v>6</v>
      </c>
      <c r="C15" s="73" t="str">
        <f>'PLANILHA ORÇAMENTÁRIA'!E89</f>
        <v>ACABAMENTOS E OBRAS COMPLEMENTARES</v>
      </c>
      <c r="D15" s="63">
        <f>'PLANILHA ORÇAMENTÁRIA'!J89</f>
        <v>0</v>
      </c>
      <c r="E15" s="72">
        <f t="shared" si="0"/>
        <v>0</v>
      </c>
      <c r="F15" s="72">
        <f t="shared" si="1"/>
        <v>0</v>
      </c>
      <c r="G15" s="72">
        <f t="shared" si="2"/>
        <v>0</v>
      </c>
      <c r="H15" s="65"/>
      <c r="I15" s="139">
        <v>0</v>
      </c>
      <c r="J15" s="139">
        <v>0</v>
      </c>
      <c r="K15" s="138">
        <v>1</v>
      </c>
    </row>
    <row r="16" spans="2:11" x14ac:dyDescent="0.2">
      <c r="B16" s="67"/>
      <c r="C16" s="74" t="s">
        <v>57</v>
      </c>
      <c r="D16" s="68">
        <f>SUM(D10:D15)</f>
        <v>0</v>
      </c>
      <c r="E16" s="68">
        <f>SUM(E10:E15)</f>
        <v>0</v>
      </c>
      <c r="F16" s="68">
        <f t="shared" ref="F16:G16" si="4">SUM(F10:F15)</f>
        <v>0</v>
      </c>
      <c r="G16" s="68">
        <f t="shared" si="4"/>
        <v>0</v>
      </c>
      <c r="H16" s="65"/>
      <c r="I16" s="139"/>
      <c r="J16" s="139"/>
    </row>
    <row r="17" spans="2:8" x14ac:dyDescent="0.2">
      <c r="B17" s="75"/>
      <c r="C17" s="74" t="s">
        <v>58</v>
      </c>
      <c r="D17" s="76" t="e">
        <f>SUM(E17:G17)</f>
        <v>#DIV/0!</v>
      </c>
      <c r="E17" s="77" t="e">
        <f>E16/$D$16</f>
        <v>#DIV/0!</v>
      </c>
      <c r="F17" s="77" t="e">
        <f t="shared" ref="F17:G17" si="5">F16/$D$16</f>
        <v>#DIV/0!</v>
      </c>
      <c r="G17" s="77" t="e">
        <f t="shared" si="5"/>
        <v>#DIV/0!</v>
      </c>
      <c r="H17" s="65"/>
    </row>
    <row r="20" spans="2:8" x14ac:dyDescent="0.2">
      <c r="E20" s="170"/>
      <c r="F20" s="15"/>
      <c r="G20" s="15"/>
    </row>
    <row r="21" spans="2:8" x14ac:dyDescent="0.2">
      <c r="E21" s="189"/>
      <c r="F21" s="189"/>
      <c r="G21" s="189"/>
    </row>
    <row r="22" spans="2:8" x14ac:dyDescent="0.2">
      <c r="E22" s="189"/>
      <c r="F22" s="189"/>
      <c r="G22" s="189"/>
    </row>
  </sheetData>
  <mergeCells count="9">
    <mergeCell ref="E22:G22"/>
    <mergeCell ref="B1:G1"/>
    <mergeCell ref="B2:G2"/>
    <mergeCell ref="B4:G4"/>
    <mergeCell ref="B5:G5"/>
    <mergeCell ref="B6:G6"/>
    <mergeCell ref="B7:G7"/>
    <mergeCell ref="B8:G8"/>
    <mergeCell ref="E21:G21"/>
  </mergeCells>
  <pageMargins left="0.51181102362204722" right="0.51181102362204722" top="0.78740157480314965" bottom="0.78740157480314965" header="0.31496062992125984" footer="0.31496062992125984"/>
  <pageSetup paperSize="9" scale="81" orientation="portrait" r:id="rId1"/>
  <rowBreaks count="1" manualBreakCount="1">
    <brk id="5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9</vt:i4>
      </vt:variant>
    </vt:vector>
  </HeadingPairs>
  <TitlesOfParts>
    <vt:vector size="15" baseType="lpstr">
      <vt:lpstr>PLANILHA ORÇAMENTÁRIA</vt:lpstr>
      <vt:lpstr>QUANTIDADES</vt:lpstr>
      <vt:lpstr>DMT</vt:lpstr>
      <vt:lpstr>BDI</vt:lpstr>
      <vt:lpstr>COMP ENSECADEIRA</vt:lpstr>
      <vt:lpstr>CRONOGRAMA</vt:lpstr>
      <vt:lpstr>BDI!Area_de_impressao</vt:lpstr>
      <vt:lpstr>'COMP ENSECADEIRA'!Area_de_impressao</vt:lpstr>
      <vt:lpstr>CRONOGRAMA!Area_de_impressao</vt:lpstr>
      <vt:lpstr>DMT!Area_de_impressao</vt:lpstr>
      <vt:lpstr>'PLANILHA ORÇAMENTÁRIA'!Area_de_impressao</vt:lpstr>
      <vt:lpstr>QUANTIDADES!Area_de_impressao</vt:lpstr>
      <vt:lpstr>CRONOGRAMA!Titulos_de_impressao</vt:lpstr>
      <vt:lpstr>'PLANILHA ORÇAMENTÁRIA'!Titulos_de_impressao</vt:lpstr>
      <vt:lpstr>QUANTIDADES!Titulos_de_impressao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2023-03-21T18:23:27Z</dcterms:created>
  <dcterms:modified xsi:type="dcterms:W3CDTF">2025-06-30T16:27:59Z</dcterms:modified>
</cp:coreProperties>
</file>